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07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659\"/>
    </mc:Choice>
  </mc:AlternateContent>
  <xr:revisionPtr revIDLastSave="0" documentId="8_{9DE977B0-8C7E-4F8F-9865-9081B23C826E}" xr6:coauthVersionLast="40" xr6:coauthVersionMax="40" xr10:uidLastSave="{00000000-0000-0000-0000-000000000000}"/>
  <bookViews>
    <workbookView xWindow="32760" yWindow="135" windowWidth="11340" windowHeight="5685" xr2:uid="{00000000-000D-0000-FFFF-FFFF00000000}"/>
  </bookViews>
  <sheets>
    <sheet name="Data" sheetId="1" r:id="rId1"/>
    <sheet name="Summary" sheetId="2" r:id="rId2"/>
    <sheet name="Graph EC4" sheetId="4" r:id="rId3"/>
    <sheet name="Preload" sheetId="5" r:id="rId4"/>
    <sheet name="v slend." sheetId="6" r:id="rId5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1" l="1"/>
  <c r="I10" i="1"/>
  <c r="AF10" i="1"/>
  <c r="J10" i="1"/>
  <c r="K10" i="1"/>
  <c r="L10" i="1"/>
  <c r="O10" i="1"/>
  <c r="P10" i="1"/>
  <c r="AG10" i="1"/>
  <c r="AI10" i="1"/>
  <c r="AK10" i="1"/>
  <c r="AH10" i="1"/>
  <c r="AJ10" i="1"/>
  <c r="Q10" i="1"/>
  <c r="AL10" i="1"/>
  <c r="R10" i="1"/>
  <c r="S10" i="1"/>
  <c r="W10" i="1"/>
  <c r="AM10" i="1"/>
  <c r="G11" i="1"/>
  <c r="I11" i="1"/>
  <c r="AF11" i="1"/>
  <c r="J11" i="1"/>
  <c r="K11" i="1"/>
  <c r="L11" i="1"/>
  <c r="O11" i="1"/>
  <c r="P11" i="1"/>
  <c r="AG11" i="1"/>
  <c r="AI11" i="1"/>
  <c r="AK11" i="1"/>
  <c r="AH11" i="1"/>
  <c r="AJ11" i="1"/>
  <c r="Q11" i="1"/>
  <c r="AL11" i="1"/>
  <c r="R11" i="1"/>
  <c r="S11" i="1"/>
  <c r="W11" i="1"/>
  <c r="AM11" i="1"/>
  <c r="G12" i="1"/>
  <c r="I12" i="1"/>
  <c r="AF12" i="1"/>
  <c r="J12" i="1"/>
  <c r="K12" i="1"/>
  <c r="L12" i="1"/>
  <c r="O12" i="1"/>
  <c r="P12" i="1"/>
  <c r="AG12" i="1"/>
  <c r="AI12" i="1"/>
  <c r="AK12" i="1"/>
  <c r="AH12" i="1"/>
  <c r="AJ12" i="1"/>
  <c r="Q12" i="1"/>
  <c r="AL12" i="1"/>
  <c r="R12" i="1"/>
  <c r="S12" i="1"/>
  <c r="W12" i="1"/>
  <c r="AM12" i="1"/>
  <c r="G13" i="1"/>
  <c r="I13" i="1"/>
  <c r="AF13" i="1"/>
  <c r="J13" i="1"/>
  <c r="K13" i="1"/>
  <c r="L13" i="1"/>
  <c r="O13" i="1"/>
  <c r="P13" i="1"/>
  <c r="AG13" i="1"/>
  <c r="AI13" i="1"/>
  <c r="AK13" i="1"/>
  <c r="AH13" i="1"/>
  <c r="AJ13" i="1"/>
  <c r="Q13" i="1"/>
  <c r="AL13" i="1"/>
  <c r="R13" i="1"/>
  <c r="S13" i="1"/>
  <c r="W13" i="1"/>
  <c r="AM13" i="1"/>
  <c r="G14" i="1"/>
  <c r="I14" i="1"/>
  <c r="AF14" i="1"/>
  <c r="J14" i="1"/>
  <c r="K14" i="1"/>
  <c r="L14" i="1"/>
  <c r="O14" i="1"/>
  <c r="P14" i="1"/>
  <c r="AK14" i="1"/>
  <c r="AJ14" i="1"/>
  <c r="Q14" i="1"/>
  <c r="AL14" i="1"/>
  <c r="R14" i="1"/>
  <c r="S14" i="1"/>
  <c r="W14" i="1"/>
  <c r="AG14" i="1"/>
  <c r="AM14" i="1"/>
  <c r="AH14" i="1"/>
  <c r="AI14" i="1"/>
  <c r="G15" i="1"/>
  <c r="I15" i="1"/>
  <c r="AF15" i="1"/>
  <c r="J15" i="1"/>
  <c r="K15" i="1"/>
  <c r="L15" i="1"/>
  <c r="O15" i="1"/>
  <c r="P15" i="1"/>
  <c r="AK15" i="1"/>
  <c r="AJ15" i="1"/>
  <c r="Q15" i="1"/>
  <c r="AL15" i="1"/>
  <c r="R15" i="1"/>
  <c r="S15" i="1"/>
  <c r="W15" i="1"/>
  <c r="AG15" i="1"/>
  <c r="AM15" i="1"/>
  <c r="AH15" i="1"/>
  <c r="AI15" i="1"/>
  <c r="G16" i="1"/>
  <c r="I16" i="1"/>
  <c r="AF16" i="1"/>
  <c r="J16" i="1"/>
  <c r="K16" i="1"/>
  <c r="L16" i="1"/>
  <c r="O16" i="1"/>
  <c r="P16" i="1"/>
  <c r="AK16" i="1"/>
  <c r="AJ16" i="1"/>
  <c r="Q16" i="1"/>
  <c r="AL16" i="1"/>
  <c r="R16" i="1"/>
  <c r="S16" i="1"/>
  <c r="W16" i="1"/>
  <c r="AG16" i="1"/>
  <c r="AM16" i="1"/>
  <c r="AH16" i="1"/>
  <c r="AI16" i="1"/>
  <c r="G17" i="1"/>
  <c r="I17" i="1"/>
  <c r="AF17" i="1"/>
  <c r="J17" i="1"/>
  <c r="K17" i="1"/>
  <c r="L17" i="1"/>
  <c r="O17" i="1"/>
  <c r="P17" i="1"/>
  <c r="AK17" i="1"/>
  <c r="AJ17" i="1"/>
  <c r="Q17" i="1"/>
  <c r="AL17" i="1"/>
  <c r="R17" i="1"/>
  <c r="S17" i="1"/>
  <c r="W17" i="1"/>
  <c r="AG17" i="1"/>
  <c r="AM17" i="1"/>
  <c r="AH17" i="1"/>
  <c r="AI17" i="1"/>
  <c r="G18" i="1"/>
  <c r="I18" i="1"/>
  <c r="AF18" i="1"/>
  <c r="J18" i="1"/>
  <c r="K18" i="1"/>
  <c r="L18" i="1"/>
  <c r="O18" i="1"/>
  <c r="P18" i="1"/>
  <c r="AK18" i="1"/>
  <c r="AJ18" i="1"/>
  <c r="Q18" i="1"/>
  <c r="AL18" i="1"/>
  <c r="R18" i="1"/>
  <c r="S18" i="1"/>
  <c r="W18" i="1"/>
  <c r="AG18" i="1"/>
  <c r="AM18" i="1"/>
  <c r="AH18" i="1"/>
  <c r="AI18" i="1"/>
  <c r="G19" i="1"/>
  <c r="I19" i="1"/>
  <c r="AF19" i="1"/>
  <c r="J19" i="1"/>
  <c r="K19" i="1"/>
  <c r="L19" i="1"/>
  <c r="O19" i="1"/>
  <c r="P19" i="1"/>
  <c r="AK19" i="1"/>
  <c r="AJ19" i="1"/>
  <c r="Q19" i="1"/>
  <c r="AL19" i="1"/>
  <c r="R19" i="1"/>
  <c r="S19" i="1"/>
  <c r="W19" i="1"/>
  <c r="AG19" i="1"/>
  <c r="AM19" i="1"/>
  <c r="AH19" i="1"/>
  <c r="AI19" i="1"/>
  <c r="G20" i="1"/>
  <c r="I20" i="1"/>
  <c r="AF20" i="1"/>
  <c r="J20" i="1"/>
  <c r="K20" i="1"/>
  <c r="L20" i="1"/>
  <c r="O20" i="1"/>
  <c r="P20" i="1"/>
  <c r="AK20" i="1"/>
  <c r="AJ20" i="1"/>
  <c r="Q20" i="1"/>
  <c r="AL20" i="1"/>
  <c r="R20" i="1"/>
  <c r="S20" i="1"/>
  <c r="W20" i="1"/>
  <c r="AG20" i="1"/>
  <c r="AM20" i="1"/>
  <c r="AH20" i="1"/>
  <c r="AI20" i="1"/>
  <c r="G21" i="1"/>
  <c r="I21" i="1"/>
  <c r="AF21" i="1"/>
  <c r="J21" i="1"/>
  <c r="K21" i="1"/>
  <c r="L21" i="1"/>
  <c r="O21" i="1"/>
  <c r="P21" i="1"/>
  <c r="AK21" i="1"/>
  <c r="AJ21" i="1"/>
  <c r="Q21" i="1"/>
  <c r="AL21" i="1"/>
  <c r="R21" i="1"/>
  <c r="S21" i="1"/>
  <c r="W21" i="1"/>
  <c r="AG21" i="1"/>
  <c r="AM21" i="1"/>
  <c r="AH21" i="1"/>
  <c r="AI21" i="1"/>
  <c r="G22" i="1"/>
  <c r="I22" i="1"/>
  <c r="AF22" i="1"/>
  <c r="J22" i="1"/>
  <c r="K22" i="1"/>
  <c r="L22" i="1"/>
  <c r="O22" i="1"/>
  <c r="P22" i="1"/>
  <c r="AK22" i="1"/>
  <c r="AJ22" i="1"/>
  <c r="Q22" i="1"/>
  <c r="AL22" i="1"/>
  <c r="R22" i="1"/>
  <c r="S22" i="1"/>
  <c r="W22" i="1"/>
  <c r="AG22" i="1"/>
  <c r="AM22" i="1"/>
  <c r="AH22" i="1"/>
  <c r="AI22" i="1"/>
  <c r="G23" i="1"/>
  <c r="I23" i="1"/>
  <c r="AF23" i="1"/>
  <c r="J23" i="1"/>
  <c r="K23" i="1"/>
  <c r="L23" i="1"/>
  <c r="O23" i="1"/>
  <c r="P23" i="1"/>
  <c r="AK23" i="1"/>
  <c r="AJ23" i="1"/>
  <c r="Q23" i="1"/>
  <c r="AL23" i="1"/>
  <c r="R23" i="1"/>
  <c r="S23" i="1"/>
  <c r="W23" i="1"/>
  <c r="AG23" i="1"/>
  <c r="AM23" i="1"/>
  <c r="AH23" i="1"/>
  <c r="AI23" i="1"/>
  <c r="G24" i="1"/>
  <c r="I24" i="1"/>
  <c r="AF24" i="1"/>
  <c r="J24" i="1"/>
  <c r="K24" i="1"/>
  <c r="L24" i="1"/>
  <c r="O24" i="1"/>
  <c r="P24" i="1"/>
  <c r="AK24" i="1"/>
  <c r="AJ24" i="1"/>
  <c r="Q24" i="1"/>
  <c r="AL24" i="1"/>
  <c r="R24" i="1"/>
  <c r="S24" i="1"/>
  <c r="W24" i="1"/>
  <c r="AG24" i="1"/>
  <c r="AM24" i="1"/>
  <c r="AH24" i="1"/>
  <c r="AI24" i="1"/>
  <c r="G25" i="1"/>
  <c r="I25" i="1"/>
  <c r="AF25" i="1"/>
  <c r="J25" i="1"/>
  <c r="K25" i="1"/>
  <c r="L25" i="1"/>
  <c r="O25" i="1"/>
  <c r="P25" i="1"/>
  <c r="AK25" i="1"/>
  <c r="AJ25" i="1"/>
  <c r="Q25" i="1"/>
  <c r="AL25" i="1"/>
  <c r="R25" i="1"/>
  <c r="S25" i="1"/>
  <c r="W25" i="1"/>
  <c r="AG25" i="1"/>
  <c r="AH25" i="1"/>
  <c r="AI25" i="1"/>
  <c r="AM25" i="1"/>
  <c r="G26" i="1"/>
  <c r="I26" i="1"/>
  <c r="AF26" i="1"/>
  <c r="J26" i="1"/>
  <c r="K26" i="1"/>
  <c r="L26" i="1"/>
  <c r="O26" i="1"/>
  <c r="P26" i="1"/>
  <c r="AK26" i="1"/>
  <c r="AJ26" i="1"/>
  <c r="Q26" i="1"/>
  <c r="AL26" i="1"/>
  <c r="R26" i="1"/>
  <c r="S26" i="1"/>
  <c r="W26" i="1"/>
  <c r="AG26" i="1"/>
  <c r="AH26" i="1"/>
  <c r="AI26" i="1"/>
  <c r="AM26" i="1"/>
  <c r="G27" i="1"/>
  <c r="I27" i="1"/>
  <c r="AF27" i="1"/>
  <c r="J27" i="1"/>
  <c r="K27" i="1"/>
  <c r="L27" i="1"/>
  <c r="O27" i="1"/>
  <c r="P27" i="1"/>
  <c r="AK27" i="1"/>
  <c r="AJ27" i="1"/>
  <c r="Q27" i="1"/>
  <c r="AL27" i="1"/>
  <c r="R27" i="1"/>
  <c r="S27" i="1"/>
  <c r="W27" i="1"/>
  <c r="AG27" i="1"/>
  <c r="AH27" i="1"/>
  <c r="AI27" i="1"/>
  <c r="AM27" i="1"/>
  <c r="G28" i="1"/>
  <c r="I28" i="1"/>
  <c r="AF28" i="1"/>
  <c r="J28" i="1"/>
  <c r="K28" i="1"/>
  <c r="L28" i="1"/>
  <c r="O28" i="1"/>
  <c r="P28" i="1"/>
  <c r="AK28" i="1"/>
  <c r="AJ28" i="1"/>
  <c r="Q28" i="1"/>
  <c r="AL28" i="1"/>
  <c r="R28" i="1"/>
  <c r="S28" i="1"/>
  <c r="W28" i="1"/>
  <c r="AG28" i="1"/>
  <c r="AH28" i="1"/>
  <c r="AI28" i="1"/>
  <c r="AM28" i="1"/>
  <c r="G29" i="1"/>
  <c r="I29" i="1"/>
  <c r="AF29" i="1"/>
  <c r="J29" i="1"/>
  <c r="K29" i="1"/>
  <c r="L29" i="1"/>
  <c r="O29" i="1"/>
  <c r="P29" i="1"/>
  <c r="AK29" i="1"/>
  <c r="AJ29" i="1"/>
  <c r="Q29" i="1"/>
  <c r="AL29" i="1"/>
  <c r="R29" i="1"/>
  <c r="S29" i="1"/>
  <c r="W29" i="1"/>
  <c r="AG29" i="1"/>
  <c r="AH29" i="1"/>
  <c r="AI29" i="1"/>
  <c r="AM29" i="1"/>
  <c r="G30" i="1"/>
  <c r="I30" i="1"/>
  <c r="AF30" i="1"/>
  <c r="J30" i="1"/>
  <c r="K30" i="1"/>
  <c r="L30" i="1"/>
  <c r="O30" i="1"/>
  <c r="P30" i="1"/>
  <c r="AK30" i="1"/>
  <c r="AJ30" i="1"/>
  <c r="Q30" i="1"/>
  <c r="AL30" i="1"/>
  <c r="R30" i="1"/>
  <c r="S30" i="1"/>
  <c r="W30" i="1"/>
  <c r="AG30" i="1"/>
  <c r="AH30" i="1"/>
  <c r="AI30" i="1"/>
  <c r="AM30" i="1"/>
  <c r="G31" i="1"/>
  <c r="I31" i="1"/>
  <c r="AF31" i="1"/>
  <c r="J31" i="1"/>
  <c r="K31" i="1"/>
  <c r="L31" i="1"/>
  <c r="O31" i="1"/>
  <c r="P31" i="1"/>
  <c r="AK31" i="1"/>
  <c r="AJ31" i="1"/>
  <c r="Q31" i="1"/>
  <c r="AL31" i="1"/>
  <c r="R31" i="1"/>
  <c r="S31" i="1"/>
  <c r="W31" i="1"/>
  <c r="AG31" i="1"/>
  <c r="AH31" i="1"/>
  <c r="AI31" i="1"/>
  <c r="AM31" i="1"/>
  <c r="G32" i="1"/>
  <c r="I32" i="1"/>
  <c r="AF32" i="1"/>
  <c r="J32" i="1"/>
  <c r="K32" i="1"/>
  <c r="L32" i="1"/>
  <c r="O32" i="1"/>
  <c r="P32" i="1"/>
  <c r="AK32" i="1"/>
  <c r="AJ32" i="1"/>
  <c r="Q32" i="1"/>
  <c r="AL32" i="1"/>
  <c r="R32" i="1"/>
  <c r="S32" i="1"/>
  <c r="W32" i="1"/>
  <c r="AG32" i="1"/>
  <c r="AH32" i="1"/>
  <c r="AI32" i="1"/>
  <c r="AM32" i="1"/>
  <c r="L34" i="1"/>
  <c r="G11" i="2"/>
  <c r="L11" i="2"/>
  <c r="N11" i="2"/>
  <c r="O11" i="2"/>
  <c r="S11" i="2"/>
  <c r="G12" i="2"/>
  <c r="L12" i="2"/>
  <c r="N12" i="2"/>
  <c r="O12" i="2"/>
  <c r="S12" i="2"/>
  <c r="G13" i="2"/>
  <c r="L13" i="2"/>
  <c r="N13" i="2"/>
  <c r="O13" i="2"/>
  <c r="S13" i="2"/>
  <c r="G14" i="2"/>
  <c r="L14" i="2"/>
  <c r="N14" i="2"/>
  <c r="O14" i="2"/>
  <c r="S14" i="2"/>
  <c r="G15" i="2"/>
  <c r="L15" i="2"/>
  <c r="N15" i="2"/>
  <c r="O15" i="2"/>
  <c r="S15" i="2"/>
  <c r="G16" i="2"/>
  <c r="L16" i="2"/>
  <c r="N16" i="2"/>
  <c r="O16" i="2"/>
  <c r="S16" i="2"/>
  <c r="G17" i="2"/>
  <c r="L17" i="2"/>
  <c r="N17" i="2"/>
  <c r="O17" i="2"/>
  <c r="S17" i="2"/>
  <c r="G18" i="2"/>
  <c r="L18" i="2"/>
  <c r="N18" i="2"/>
  <c r="O18" i="2"/>
  <c r="S18" i="2"/>
  <c r="G19" i="2"/>
  <c r="L19" i="2"/>
  <c r="N19" i="2"/>
  <c r="O19" i="2"/>
  <c r="S19" i="2"/>
  <c r="G20" i="2"/>
  <c r="L20" i="2"/>
  <c r="N20" i="2"/>
  <c r="O20" i="2"/>
  <c r="S20" i="2"/>
  <c r="G21" i="2"/>
  <c r="L21" i="2"/>
  <c r="N21" i="2"/>
  <c r="O21" i="2"/>
  <c r="S21" i="2"/>
  <c r="G22" i="2"/>
  <c r="L22" i="2"/>
  <c r="N22" i="2"/>
  <c r="O22" i="2"/>
  <c r="S22" i="2"/>
  <c r="G23" i="2"/>
  <c r="L23" i="2"/>
  <c r="N23" i="2"/>
  <c r="O23" i="2"/>
  <c r="S23" i="2"/>
  <c r="G24" i="2"/>
  <c r="L24" i="2"/>
  <c r="N24" i="2"/>
  <c r="O24" i="2"/>
  <c r="S24" i="2"/>
  <c r="G25" i="2"/>
  <c r="L25" i="2"/>
  <c r="N25" i="2"/>
  <c r="O25" i="2"/>
  <c r="S25" i="2"/>
  <c r="G26" i="2"/>
  <c r="L26" i="2"/>
  <c r="N26" i="2"/>
  <c r="O26" i="2"/>
  <c r="S26" i="2"/>
  <c r="G27" i="2"/>
  <c r="L27" i="2"/>
  <c r="N27" i="2"/>
  <c r="O27" i="2"/>
  <c r="S27" i="2"/>
  <c r="G28" i="2"/>
  <c r="L28" i="2"/>
  <c r="N28" i="2"/>
  <c r="O28" i="2"/>
  <c r="S28" i="2"/>
  <c r="G29" i="2"/>
  <c r="L29" i="2"/>
  <c r="N29" i="2"/>
  <c r="O29" i="2"/>
  <c r="S29" i="2"/>
  <c r="G30" i="2"/>
  <c r="L30" i="2"/>
  <c r="N30" i="2"/>
  <c r="O30" i="2"/>
  <c r="S30" i="2"/>
  <c r="G31" i="2"/>
  <c r="L31" i="2"/>
  <c r="N31" i="2"/>
  <c r="O31" i="2"/>
  <c r="S31" i="2"/>
  <c r="G32" i="2"/>
  <c r="L32" i="2"/>
  <c r="N32" i="2"/>
  <c r="O32" i="2"/>
  <c r="S32" i="2"/>
  <c r="G33" i="2"/>
  <c r="L33" i="2"/>
  <c r="N33" i="2"/>
  <c r="O33" i="2"/>
  <c r="S33" i="2"/>
  <c r="S35" i="2"/>
  <c r="S36" i="2"/>
  <c r="S37" i="2"/>
  <c r="S38" i="2"/>
  <c r="S39" i="2"/>
</calcChain>
</file>

<file path=xl/sharedStrings.xml><?xml version="1.0" encoding="utf-8"?>
<sst xmlns="http://schemas.openxmlformats.org/spreadsheetml/2006/main" count="181" uniqueCount="120">
  <si>
    <t xml:space="preserve"> i)   Circular Concrete filled Columns</t>
  </si>
  <si>
    <t xml:space="preserve"> DATA.</t>
  </si>
  <si>
    <t>with end eccentricity (moment) and Preload</t>
  </si>
  <si>
    <t>Preload applied to the steel tube before filling.</t>
  </si>
  <si>
    <t>Long without M</t>
  </si>
  <si>
    <t>Notes:</t>
  </si>
  <si>
    <t>(A)  fcyl</t>
  </si>
  <si>
    <t xml:space="preserve"> =0.8*fcu</t>
  </si>
  <si>
    <t xml:space="preserve"> </t>
  </si>
  <si>
    <t>(B)</t>
  </si>
  <si>
    <t xml:space="preserve">*  Ec = </t>
  </si>
  <si>
    <t>22*((fcyl+8)/10)^0.3</t>
  </si>
  <si>
    <t>(C)  Sle</t>
  </si>
  <si>
    <t>nderness</t>
  </si>
  <si>
    <t xml:space="preserve"> = SQRT(</t>
  </si>
  <si>
    <t>NplR/Ncrit</t>
  </si>
  <si>
    <t>)</t>
  </si>
  <si>
    <t xml:space="preserve">   Theory</t>
  </si>
  <si>
    <t xml:space="preserve">  Short</t>
  </si>
  <si>
    <t>Column</t>
  </si>
  <si>
    <t xml:space="preserve">  Long</t>
  </si>
  <si>
    <t xml:space="preserve"> &lt; additi</t>
  </si>
  <si>
    <t>onal</t>
  </si>
  <si>
    <t xml:space="preserve"> ..</t>
  </si>
  <si>
    <t xml:space="preserve">   data</t>
  </si>
  <si>
    <t xml:space="preserve">    &gt;</t>
  </si>
  <si>
    <t xml:space="preserve"> &lt;</t>
  </si>
  <si>
    <t>subsi</t>
  </si>
  <si>
    <t>diary</t>
  </si>
  <si>
    <t xml:space="preserve">  cal</t>
  </si>
  <si>
    <t>culations</t>
  </si>
  <si>
    <t>&gt;</t>
  </si>
  <si>
    <t>local</t>
  </si>
  <si>
    <t xml:space="preserve">   Test  </t>
  </si>
  <si>
    <t>Test</t>
  </si>
  <si>
    <t xml:space="preserve">  EC4</t>
  </si>
  <si>
    <t xml:space="preserve"> Chi x</t>
  </si>
  <si>
    <t xml:space="preserve">  Test   </t>
  </si>
  <si>
    <t>Preload</t>
  </si>
  <si>
    <t>d</t>
  </si>
  <si>
    <t>Ref. No.</t>
  </si>
  <si>
    <t xml:space="preserve">  Dia.</t>
  </si>
  <si>
    <t xml:space="preserve"> thick</t>
  </si>
  <si>
    <t xml:space="preserve"> Yield</t>
  </si>
  <si>
    <t xml:space="preserve">  Es</t>
  </si>
  <si>
    <t xml:space="preserve"> f cyl</t>
  </si>
  <si>
    <t xml:space="preserve">  Ec</t>
  </si>
  <si>
    <t xml:space="preserve"> Length</t>
  </si>
  <si>
    <t xml:space="preserve">  L/D</t>
  </si>
  <si>
    <t>slender-</t>
  </si>
  <si>
    <t>D/t</t>
  </si>
  <si>
    <t>buckling</t>
  </si>
  <si>
    <t xml:space="preserve"> Nmax</t>
  </si>
  <si>
    <t>δo</t>
  </si>
  <si>
    <t xml:space="preserve">   Nuniax</t>
  </si>
  <si>
    <t xml:space="preserve">  Nu cdg</t>
  </si>
  <si>
    <t xml:space="preserve">  NplRd</t>
  </si>
  <si>
    <t>Long EC4</t>
  </si>
  <si>
    <t xml:space="preserve">   et</t>
  </si>
  <si>
    <t xml:space="preserve">   eb</t>
  </si>
  <si>
    <t>(approx)</t>
  </si>
  <si>
    <t>Asfy</t>
  </si>
  <si>
    <t xml:space="preserve">  End</t>
  </si>
  <si>
    <t>init.def</t>
  </si>
  <si>
    <t xml:space="preserve">   s2</t>
  </si>
  <si>
    <t xml:space="preserve">  e2</t>
  </si>
  <si>
    <t xml:space="preserve">   Ey</t>
  </si>
  <si>
    <t xml:space="preserve"> ecmax</t>
  </si>
  <si>
    <t xml:space="preserve"> eult</t>
  </si>
  <si>
    <t>EC4</t>
  </si>
  <si>
    <t>Slend</t>
  </si>
  <si>
    <t xml:space="preserve">   mm</t>
  </si>
  <si>
    <t xml:space="preserve">  MPa</t>
  </si>
  <si>
    <t xml:space="preserve">  GPa</t>
  </si>
  <si>
    <t xml:space="preserve">  ness</t>
  </si>
  <si>
    <t>if &gt; 1</t>
  </si>
  <si>
    <t xml:space="preserve"> kN</t>
  </si>
  <si>
    <t>mm</t>
  </si>
  <si>
    <t xml:space="preserve">     kN</t>
  </si>
  <si>
    <t xml:space="preserve">    kN</t>
  </si>
  <si>
    <t xml:space="preserve">   kN</t>
  </si>
  <si>
    <t>kN</t>
  </si>
  <si>
    <t>Npl,Rd</t>
  </si>
  <si>
    <t xml:space="preserve"> condit.</t>
  </si>
  <si>
    <t xml:space="preserve">   MPa</t>
  </si>
  <si>
    <t xml:space="preserve">   GPa</t>
  </si>
  <si>
    <t>Ex n</t>
  </si>
  <si>
    <t>EC4xn</t>
  </si>
  <si>
    <t xml:space="preserve"> n10</t>
  </si>
  <si>
    <t xml:space="preserve"> n20</t>
  </si>
  <si>
    <t xml:space="preserve"> n1</t>
  </si>
  <si>
    <t xml:space="preserve"> n2</t>
  </si>
  <si>
    <t xml:space="preserve">  Chi</t>
  </si>
  <si>
    <t>n10*</t>
  </si>
  <si>
    <t>Zha (Harbin)</t>
  </si>
  <si>
    <t>Ref. 43</t>
  </si>
  <si>
    <t>PhD dis.</t>
  </si>
  <si>
    <t>*</t>
  </si>
  <si>
    <t>not</t>
  </si>
  <si>
    <t>given</t>
  </si>
  <si>
    <t>loc B &gt;1</t>
  </si>
  <si>
    <t>none</t>
  </si>
  <si>
    <t xml:space="preserve">  Circular Concrete filled Columns</t>
  </si>
  <si>
    <t>Summary</t>
  </si>
  <si>
    <t xml:space="preserve"> 'k' factor analysis</t>
  </si>
  <si>
    <t>From EC4</t>
  </si>
  <si>
    <t>N-M Graph</t>
  </si>
  <si>
    <t>M (Ne)</t>
  </si>
  <si>
    <t>approx</t>
  </si>
  <si>
    <t>N</t>
  </si>
  <si>
    <t>M</t>
  </si>
  <si>
    <t>Ntest</t>
  </si>
  <si>
    <t>kNm</t>
  </si>
  <si>
    <t>NEC4</t>
  </si>
  <si>
    <t>PhD diss</t>
  </si>
  <si>
    <t>Av (23) =</t>
  </si>
  <si>
    <t>St Dev=</t>
  </si>
  <si>
    <t>Tot No.</t>
  </si>
  <si>
    <t>No. &lt; 1</t>
  </si>
  <si>
    <t>% &lt;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</si>
</sst>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000_)"/>
    <numFmt numFmtId="166" formatCode="0.00_)"/>
    <numFmt numFmtId="167" formatCode="0.000_)"/>
    <numFmt numFmtId="168" formatCode="0.0"/>
    <numFmt numFmtId="169" formatCode="0.000"/>
  </numFmts>
  <fonts count="6">
    <font>
      <sz val="10"/>
      <name val="Arial"/>
    </font>
    <font>
      <b/>
      <sz val="10"/>
      <name val="Arial"/>
      <family val="2"/>
    </font>
    <font>
      <sz val="10"/>
      <color indexed="12"/>
      <name val="Courier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164" fontId="1" fillId="0" borderId="0" xfId="0" applyNumberFormat="1" applyFont="1" applyAlignment="1" applyProtection="1">
      <alignment horizontal="left"/>
    </xf>
    <xf numFmtId="0" fontId="0" fillId="0" borderId="0" xfId="0" applyProtection="1"/>
    <xf numFmtId="164" fontId="0" fillId="0" borderId="0" xfId="0" applyNumberFormat="1" applyAlignment="1" applyProtection="1">
      <alignment horizontal="left"/>
    </xf>
    <xf numFmtId="165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left"/>
    </xf>
    <xf numFmtId="166" fontId="0" fillId="0" borderId="0" xfId="0" applyNumberFormat="1" applyAlignment="1" applyProtection="1">
      <alignment horizontal="right"/>
    </xf>
    <xf numFmtId="164" fontId="0" fillId="0" borderId="0" xfId="0" applyNumberFormat="1" applyAlignment="1" applyProtection="1">
      <alignment horizontal="right"/>
    </xf>
    <xf numFmtId="166" fontId="0" fillId="0" borderId="0" xfId="0" applyNumberFormat="1" applyAlignment="1" applyProtection="1">
      <alignment horizontal="left"/>
    </xf>
    <xf numFmtId="16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right"/>
    </xf>
    <xf numFmtId="166" fontId="1" fillId="0" borderId="0" xfId="0" applyNumberFormat="1" applyFont="1" applyAlignment="1" applyProtection="1">
      <alignment horizontal="left"/>
    </xf>
    <xf numFmtId="167" fontId="1" fillId="0" borderId="0" xfId="0" applyNumberFormat="1" applyFont="1" applyAlignment="1" applyProtection="1">
      <alignment horizontal="left"/>
    </xf>
    <xf numFmtId="166" fontId="0" fillId="0" borderId="0" xfId="0" applyNumberFormat="1" applyAlignment="1" applyProtection="1">
      <alignment horizontal="center"/>
    </xf>
    <xf numFmtId="0" fontId="1" fillId="0" borderId="0" xfId="0" applyFont="1"/>
    <xf numFmtId="167" fontId="0" fillId="0" borderId="0" xfId="0" applyNumberFormat="1" applyAlignment="1" applyProtection="1">
      <alignment horizontal="left"/>
    </xf>
    <xf numFmtId="168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/>
    <xf numFmtId="166" fontId="1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right"/>
    </xf>
    <xf numFmtId="4" fontId="1" fillId="0" borderId="0" xfId="0" applyNumberFormat="1" applyFont="1"/>
    <xf numFmtId="0" fontId="0" fillId="0" borderId="0" xfId="0" applyAlignment="1">
      <alignment horizontal="right"/>
    </xf>
    <xf numFmtId="167" fontId="1" fillId="0" borderId="0" xfId="0" applyNumberFormat="1" applyFont="1" applyAlignment="1" applyProtection="1">
      <alignment horizontal="center"/>
    </xf>
    <xf numFmtId="9" fontId="0" fillId="0" borderId="0" xfId="0" applyNumberFormat="1"/>
    <xf numFmtId="0" fontId="5" fillId="0" borderId="0" xfId="0" applyFont="1" applyAlignment="1">
      <alignment horizontal="center"/>
    </xf>
    <xf numFmtId="166" fontId="3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3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Circular CFST with Moment and Preload.   Tests compared with EC4</a:t>
            </a:r>
          </a:p>
        </c:rich>
      </c:tx>
      <c:layout>
        <c:manualLayout>
          <c:xMode val="edge"/>
          <c:yMode val="edge"/>
          <c:x val="0.23196448390677027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30965593784688E-2"/>
          <c:y val="0.10114192495921696"/>
          <c:w val="0.87791342952275253"/>
          <c:h val="0.79282218597063625"/>
        </c:manualLayout>
      </c:layout>
      <c:scatterChart>
        <c:scatterStyle val="lineMarker"/>
        <c:varyColors val="0"/>
        <c:ser>
          <c:idx val="0"/>
          <c:order val="0"/>
          <c:tx>
            <c:v>Zha  23 tests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Summary!$Q$11:$Q$33</c:f>
              <c:numCache>
                <c:formatCode>General</c:formatCode>
                <c:ptCount val="23"/>
                <c:pt idx="0">
                  <c:v>889</c:v>
                </c:pt>
                <c:pt idx="1">
                  <c:v>889</c:v>
                </c:pt>
                <c:pt idx="2">
                  <c:v>734</c:v>
                </c:pt>
                <c:pt idx="3">
                  <c:v>734</c:v>
                </c:pt>
                <c:pt idx="4">
                  <c:v>467</c:v>
                </c:pt>
                <c:pt idx="5">
                  <c:v>467</c:v>
                </c:pt>
                <c:pt idx="6">
                  <c:v>467</c:v>
                </c:pt>
                <c:pt idx="7">
                  <c:v>467</c:v>
                </c:pt>
                <c:pt idx="8">
                  <c:v>467</c:v>
                </c:pt>
                <c:pt idx="9">
                  <c:v>467</c:v>
                </c:pt>
                <c:pt idx="10">
                  <c:v>410</c:v>
                </c:pt>
                <c:pt idx="11">
                  <c:v>410</c:v>
                </c:pt>
                <c:pt idx="12">
                  <c:v>365</c:v>
                </c:pt>
                <c:pt idx="13">
                  <c:v>365</c:v>
                </c:pt>
                <c:pt idx="14">
                  <c:v>365</c:v>
                </c:pt>
                <c:pt idx="15">
                  <c:v>377</c:v>
                </c:pt>
                <c:pt idx="16">
                  <c:v>377</c:v>
                </c:pt>
                <c:pt idx="17">
                  <c:v>377</c:v>
                </c:pt>
                <c:pt idx="18">
                  <c:v>345</c:v>
                </c:pt>
                <c:pt idx="19">
                  <c:v>345</c:v>
                </c:pt>
                <c:pt idx="20" formatCode="0">
                  <c:v>245</c:v>
                </c:pt>
                <c:pt idx="21" formatCode="0">
                  <c:v>245</c:v>
                </c:pt>
                <c:pt idx="22" formatCode="0">
                  <c:v>245</c:v>
                </c:pt>
              </c:numCache>
            </c:numRef>
          </c:xVal>
          <c:yVal>
            <c:numRef>
              <c:f>Summary!$M$11:$M$33</c:f>
              <c:numCache>
                <c:formatCode>General</c:formatCode>
                <c:ptCount val="23"/>
                <c:pt idx="0">
                  <c:v>882</c:v>
                </c:pt>
                <c:pt idx="1">
                  <c:v>715</c:v>
                </c:pt>
                <c:pt idx="2">
                  <c:v>784</c:v>
                </c:pt>
                <c:pt idx="3">
                  <c:v>800</c:v>
                </c:pt>
                <c:pt idx="4">
                  <c:v>591</c:v>
                </c:pt>
                <c:pt idx="5">
                  <c:v>576</c:v>
                </c:pt>
                <c:pt idx="6">
                  <c:v>582</c:v>
                </c:pt>
                <c:pt idx="7">
                  <c:v>576</c:v>
                </c:pt>
                <c:pt idx="8">
                  <c:v>568</c:v>
                </c:pt>
                <c:pt idx="9">
                  <c:v>559</c:v>
                </c:pt>
                <c:pt idx="10">
                  <c:v>500</c:v>
                </c:pt>
                <c:pt idx="11">
                  <c:v>492</c:v>
                </c:pt>
                <c:pt idx="12">
                  <c:v>476</c:v>
                </c:pt>
                <c:pt idx="13">
                  <c:v>476</c:v>
                </c:pt>
                <c:pt idx="14">
                  <c:v>466</c:v>
                </c:pt>
                <c:pt idx="15">
                  <c:v>430</c:v>
                </c:pt>
                <c:pt idx="16">
                  <c:v>416</c:v>
                </c:pt>
                <c:pt idx="17">
                  <c:v>412</c:v>
                </c:pt>
                <c:pt idx="18">
                  <c:v>347</c:v>
                </c:pt>
                <c:pt idx="19">
                  <c:v>335</c:v>
                </c:pt>
                <c:pt idx="20">
                  <c:v>293</c:v>
                </c:pt>
                <c:pt idx="21">
                  <c:v>282</c:v>
                </c:pt>
                <c:pt idx="22">
                  <c:v>268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AB-4556-B2F6-8B1C1A49E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9051280"/>
        <c:axId val="1"/>
      </c:scatterChart>
      <c:valAx>
        <c:axId val="869051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Eurocode 4  kN</a:t>
                </a:r>
              </a:p>
            </c:rich>
          </c:tx>
          <c:layout>
            <c:manualLayout>
              <c:xMode val="edge"/>
              <c:yMode val="edge"/>
              <c:x val="0.46614872364039955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Result  kN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1924959216965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9051280"/>
        <c:crosses val="autoZero"/>
        <c:crossBetween val="midCat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5726970033296338"/>
          <c:y val="0.75693311582381728"/>
          <c:w val="0.13873473917869034"/>
          <c:h val="4.89396411092985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Circular  CFST  with  Moment  and  Preload.        Ratio  Test/EC4  against  Preload.</a:t>
            </a:r>
          </a:p>
        </c:rich>
      </c:tx>
      <c:layout>
        <c:manualLayout>
          <c:xMode val="edge"/>
          <c:yMode val="edge"/>
          <c:x val="0.17993795243019647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218200620475704E-2"/>
          <c:y val="0.1271186440677966"/>
          <c:w val="0.84798345398138575"/>
          <c:h val="0.76101694915254237"/>
        </c:manualLayout>
      </c:layout>
      <c:scatterChart>
        <c:scatterStyle val="lineMarker"/>
        <c:varyColors val="0"/>
        <c:ser>
          <c:idx val="0"/>
          <c:order val="0"/>
          <c:tx>
            <c:v> Zha  23 tests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Data!$V$10:$V$32</c:f>
              <c:numCache>
                <c:formatCode>General</c:formatCode>
                <c:ptCount val="23"/>
                <c:pt idx="0">
                  <c:v>189</c:v>
                </c:pt>
                <c:pt idx="1">
                  <c:v>271</c:v>
                </c:pt>
                <c:pt idx="2">
                  <c:v>201</c:v>
                </c:pt>
                <c:pt idx="3">
                  <c:v>319</c:v>
                </c:pt>
                <c:pt idx="4">
                  <c:v>124</c:v>
                </c:pt>
                <c:pt idx="5">
                  <c:v>177</c:v>
                </c:pt>
                <c:pt idx="6">
                  <c:v>236</c:v>
                </c:pt>
                <c:pt idx="7">
                  <c:v>260</c:v>
                </c:pt>
                <c:pt idx="8">
                  <c:v>289</c:v>
                </c:pt>
                <c:pt idx="9">
                  <c:v>360</c:v>
                </c:pt>
                <c:pt idx="10">
                  <c:v>254</c:v>
                </c:pt>
                <c:pt idx="11">
                  <c:v>342</c:v>
                </c:pt>
                <c:pt idx="12">
                  <c:v>162</c:v>
                </c:pt>
                <c:pt idx="13">
                  <c:v>243</c:v>
                </c:pt>
                <c:pt idx="14">
                  <c:v>320</c:v>
                </c:pt>
                <c:pt idx="15">
                  <c:v>148</c:v>
                </c:pt>
                <c:pt idx="16">
                  <c:v>283</c:v>
                </c:pt>
                <c:pt idx="17">
                  <c:v>389</c:v>
                </c:pt>
                <c:pt idx="18">
                  <c:v>153</c:v>
                </c:pt>
                <c:pt idx="19">
                  <c:v>283</c:v>
                </c:pt>
                <c:pt idx="20">
                  <c:v>177</c:v>
                </c:pt>
                <c:pt idx="21">
                  <c:v>325</c:v>
                </c:pt>
                <c:pt idx="22">
                  <c:v>466</c:v>
                </c:pt>
              </c:numCache>
            </c:numRef>
          </c:xVal>
          <c:yVal>
            <c:numRef>
              <c:f>Summary!$S$11:$S$33</c:f>
              <c:numCache>
                <c:formatCode>#,##0.00</c:formatCode>
                <c:ptCount val="23"/>
                <c:pt idx="0">
                  <c:v>0.99212598425196852</c:v>
                </c:pt>
                <c:pt idx="1">
                  <c:v>0.80427446569178851</c:v>
                </c:pt>
                <c:pt idx="2">
                  <c:v>1.0681198910081744</c:v>
                </c:pt>
                <c:pt idx="3">
                  <c:v>1.0899182561307903</c:v>
                </c:pt>
                <c:pt idx="4">
                  <c:v>1.265524625267666</c:v>
                </c:pt>
                <c:pt idx="5">
                  <c:v>1.2334047109207709</c:v>
                </c:pt>
                <c:pt idx="6">
                  <c:v>1.246252676659529</c:v>
                </c:pt>
                <c:pt idx="7">
                  <c:v>1.2334047109207709</c:v>
                </c:pt>
                <c:pt idx="8">
                  <c:v>1.2162740899357602</c:v>
                </c:pt>
                <c:pt idx="9">
                  <c:v>1.1970021413276231</c:v>
                </c:pt>
                <c:pt idx="10">
                  <c:v>1.2195121951219512</c:v>
                </c:pt>
                <c:pt idx="11">
                  <c:v>1.2</c:v>
                </c:pt>
                <c:pt idx="12">
                  <c:v>1.3041095890410959</c:v>
                </c:pt>
                <c:pt idx="13">
                  <c:v>1.3041095890410959</c:v>
                </c:pt>
                <c:pt idx="14">
                  <c:v>1.2767123287671234</c:v>
                </c:pt>
                <c:pt idx="15">
                  <c:v>1.1405835543766578</c:v>
                </c:pt>
                <c:pt idx="16">
                  <c:v>1.103448275862069</c:v>
                </c:pt>
                <c:pt idx="17">
                  <c:v>1.0928381962864722</c:v>
                </c:pt>
                <c:pt idx="18">
                  <c:v>1.0057971014492753</c:v>
                </c:pt>
                <c:pt idx="19">
                  <c:v>0.97101449275362317</c:v>
                </c:pt>
                <c:pt idx="20">
                  <c:v>1.1959183673469387</c:v>
                </c:pt>
                <c:pt idx="21">
                  <c:v>1.1510204081632653</c:v>
                </c:pt>
                <c:pt idx="22">
                  <c:v>1.0938775510204082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B8-4D78-BC4A-C4B7E3F88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9053776"/>
        <c:axId val="1"/>
      </c:scatterChart>
      <c:valAx>
        <c:axId val="869053776"/>
        <c:scaling>
          <c:orientation val="minMax"/>
          <c:max val="5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Preload applied to the steel tube before filling with concrete  kN</a:t>
                </a:r>
              </a:p>
            </c:rich>
          </c:tx>
          <c:layout>
            <c:manualLayout>
              <c:xMode val="edge"/>
              <c:yMode val="edge"/>
              <c:x val="0.27921406411582211"/>
              <c:y val="0.940677966101694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.6"/>
        <c:crossBetween val="midCat"/>
      </c:valAx>
      <c:valAx>
        <c:axId val="1"/>
        <c:scaling>
          <c:orientation val="minMax"/>
          <c:min val="0.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Ratio  Test/EC4</a:t>
                </a:r>
              </a:p>
            </c:rich>
          </c:tx>
          <c:layout>
            <c:manualLayout>
              <c:xMode val="edge"/>
              <c:yMode val="edge"/>
              <c:x val="1.2409513960703205E-2"/>
              <c:y val="0.423728813559322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9053776"/>
        <c:crosses val="autoZero"/>
        <c:crossBetween val="midCat"/>
        <c:majorUnit val="0.1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132368148914167"/>
          <c:y val="0.80847457627118646"/>
          <c:w val="0.11478800413650465"/>
          <c:h val="3.72881355932203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 Circular CFST Columns with Moment and Preload.   Ratio Test/EC4 v Slenderness</a:t>
            </a:r>
          </a:p>
        </c:rich>
      </c:tx>
      <c:layout>
        <c:manualLayout>
          <c:xMode val="edge"/>
          <c:yMode val="edge"/>
          <c:x val="0.17425083240843509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021087680355167E-2"/>
          <c:y val="0.12234910277324633"/>
          <c:w val="0.83351831298557155"/>
          <c:h val="0.76835236541598695"/>
        </c:manualLayout>
      </c:layout>
      <c:scatterChart>
        <c:scatterStyle val="lineMarker"/>
        <c:varyColors val="0"/>
        <c:ser>
          <c:idx val="0"/>
          <c:order val="0"/>
          <c:tx>
            <c:v> Zha  23 tests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Summary!$L$11:$L$33</c:f>
              <c:numCache>
                <c:formatCode>0.000</c:formatCode>
                <c:ptCount val="23"/>
                <c:pt idx="0">
                  <c:v>0.59730859876925446</c:v>
                </c:pt>
                <c:pt idx="1">
                  <c:v>0.59730859876925446</c:v>
                </c:pt>
                <c:pt idx="2">
                  <c:v>0.89596289815388175</c:v>
                </c:pt>
                <c:pt idx="3">
                  <c:v>0.89596289815388175</c:v>
                </c:pt>
                <c:pt idx="4">
                  <c:v>0.14916675533174187</c:v>
                </c:pt>
                <c:pt idx="5">
                  <c:v>0.14916675533174187</c:v>
                </c:pt>
                <c:pt idx="6">
                  <c:v>0.14916675533174187</c:v>
                </c:pt>
                <c:pt idx="7">
                  <c:v>0.14916675533174187</c:v>
                </c:pt>
                <c:pt idx="8">
                  <c:v>0.14916675533174187</c:v>
                </c:pt>
                <c:pt idx="9">
                  <c:v>0.14916675533174187</c:v>
                </c:pt>
                <c:pt idx="10">
                  <c:v>0.14916675533174187</c:v>
                </c:pt>
                <c:pt idx="11">
                  <c:v>0.14916675533174187</c:v>
                </c:pt>
                <c:pt idx="12">
                  <c:v>0.15334124926746162</c:v>
                </c:pt>
                <c:pt idx="13">
                  <c:v>0.15334124926746162</c:v>
                </c:pt>
                <c:pt idx="14">
                  <c:v>0.15334124926746162</c:v>
                </c:pt>
                <c:pt idx="15">
                  <c:v>0.53571716430969651</c:v>
                </c:pt>
                <c:pt idx="16">
                  <c:v>0.53571716430969651</c:v>
                </c:pt>
                <c:pt idx="17">
                  <c:v>0.53571716430969651</c:v>
                </c:pt>
                <c:pt idx="18">
                  <c:v>0.53571716430969651</c:v>
                </c:pt>
                <c:pt idx="19">
                  <c:v>0.53571716430969651</c:v>
                </c:pt>
                <c:pt idx="20">
                  <c:v>0.87575320872183926</c:v>
                </c:pt>
                <c:pt idx="21">
                  <c:v>0.87575320872183926</c:v>
                </c:pt>
                <c:pt idx="22">
                  <c:v>0.87575320872183926</c:v>
                </c:pt>
              </c:numCache>
            </c:numRef>
          </c:xVal>
          <c:yVal>
            <c:numRef>
              <c:f>Summary!$S$11:$S$33</c:f>
              <c:numCache>
                <c:formatCode>#,##0.00</c:formatCode>
                <c:ptCount val="23"/>
                <c:pt idx="0">
                  <c:v>0.99212598425196852</c:v>
                </c:pt>
                <c:pt idx="1">
                  <c:v>0.80427446569178851</c:v>
                </c:pt>
                <c:pt idx="2">
                  <c:v>1.0681198910081744</c:v>
                </c:pt>
                <c:pt idx="3">
                  <c:v>1.0899182561307903</c:v>
                </c:pt>
                <c:pt idx="4">
                  <c:v>1.265524625267666</c:v>
                </c:pt>
                <c:pt idx="5">
                  <c:v>1.2334047109207709</c:v>
                </c:pt>
                <c:pt idx="6">
                  <c:v>1.246252676659529</c:v>
                </c:pt>
                <c:pt idx="7">
                  <c:v>1.2334047109207709</c:v>
                </c:pt>
                <c:pt idx="8">
                  <c:v>1.2162740899357602</c:v>
                </c:pt>
                <c:pt idx="9">
                  <c:v>1.1970021413276231</c:v>
                </c:pt>
                <c:pt idx="10">
                  <c:v>1.2195121951219512</c:v>
                </c:pt>
                <c:pt idx="11">
                  <c:v>1.2</c:v>
                </c:pt>
                <c:pt idx="12">
                  <c:v>1.3041095890410959</c:v>
                </c:pt>
                <c:pt idx="13">
                  <c:v>1.3041095890410959</c:v>
                </c:pt>
                <c:pt idx="14">
                  <c:v>1.2767123287671234</c:v>
                </c:pt>
                <c:pt idx="15">
                  <c:v>1.1405835543766578</c:v>
                </c:pt>
                <c:pt idx="16">
                  <c:v>1.103448275862069</c:v>
                </c:pt>
                <c:pt idx="17">
                  <c:v>1.0928381962864722</c:v>
                </c:pt>
                <c:pt idx="18">
                  <c:v>1.0057971014492753</c:v>
                </c:pt>
                <c:pt idx="19">
                  <c:v>0.97101449275362317</c:v>
                </c:pt>
                <c:pt idx="20">
                  <c:v>1.1959183673469387</c:v>
                </c:pt>
                <c:pt idx="21">
                  <c:v>1.1510204081632653</c:v>
                </c:pt>
                <c:pt idx="22">
                  <c:v>1.0938775510204082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A1-4FCD-ACEE-8BE69EFE4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076704"/>
        <c:axId val="1"/>
      </c:scatterChart>
      <c:valAx>
        <c:axId val="871076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Slenderness = SQRT(NplR/Ncrit)</a:t>
                </a:r>
              </a:p>
            </c:rich>
          </c:tx>
          <c:layout>
            <c:manualLayout>
              <c:xMode val="edge"/>
              <c:yMode val="edge"/>
              <c:x val="0.38401775804661487"/>
              <c:y val="0.9412724306688418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.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Ratio  Test/EC4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25774877650897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1076704"/>
        <c:crosses val="autoZero"/>
        <c:crossBetween val="midCat"/>
        <c:majorUnit val="0.1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980022197558268"/>
          <c:y val="0.80750407830342574"/>
          <c:w val="0.13873473917869034"/>
          <c:h val="4.56769983686786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5" workbookViewId="0" xr3:uid="{842E5F09-E766-5B8D-85AF-A39847EA96FD}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75" workbookViewId="0" xr3:uid="{51F8DEE0-4D01-5F28-A812-FC0BD7CAC4A5}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56" workbookViewId="0" xr3:uid="{F9CF3CF3-643B-5BE6-8B46-32C596A47465}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44FB84E6-C870-465C-926C-E8D8F1EB2CB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0.08075</cdr:x>
      <cdr:y>0.101</cdr:y>
    </cdr:from>
    <cdr:to>
      <cdr:x>0.96175</cdr:x>
      <cdr:y>0.894</cdr:y>
    </cdr:to>
    <cdr:sp macro="" textlink="">
      <cdr:nvSpPr>
        <cdr:cNvPr id="1025" name="Line 1">
          <a:extLst xmlns:a="http://schemas.openxmlformats.org/drawingml/2006/main">
            <a:ext uri="{FF2B5EF4-FFF2-40B4-BE49-F238E27FC236}">
              <a16:creationId xmlns:a16="http://schemas.microsoft.com/office/drawing/2014/main" id="{A3FBA794-C1D8-43DF-82E0-7826AF77EF3A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92999" y="589721"/>
          <a:ext cx="7560764" cy="463018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FA26543-881B-453C-B13A-E5CC8B848D0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0.06725</cdr:x>
      <cdr:y>0.56175</cdr:y>
    </cdr:from>
    <cdr:to>
      <cdr:x>0.9135</cdr:x>
      <cdr:y>0.56175</cdr:y>
    </cdr:to>
    <cdr:sp macro="" textlink="">
      <cdr:nvSpPr>
        <cdr:cNvPr id="2049" name="Line 1">
          <a:extLst xmlns:a="http://schemas.openxmlformats.org/drawingml/2006/main">
            <a:ext uri="{FF2B5EF4-FFF2-40B4-BE49-F238E27FC236}">
              <a16:creationId xmlns:a16="http://schemas.microsoft.com/office/drawing/2014/main" id="{E8E02685-5B37-4CD6-8578-16D1675FBBE3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19418" y="3156895"/>
          <a:ext cx="779453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CCA90BA5-4FF8-4761-98EB-7454D20D2CF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0.079</cdr:x>
      <cdr:y>0.5605</cdr:y>
    </cdr:from>
    <cdr:to>
      <cdr:x>0.91675</cdr:x>
      <cdr:y>0.56125</cdr:y>
    </cdr:to>
    <cdr:sp macro="" textlink="">
      <cdr:nvSpPr>
        <cdr:cNvPr id="15361" name="Line 1">
          <a:extLst xmlns:a="http://schemas.openxmlformats.org/drawingml/2006/main">
            <a:ext uri="{FF2B5EF4-FFF2-40B4-BE49-F238E27FC236}">
              <a16:creationId xmlns:a16="http://schemas.microsoft.com/office/drawing/2014/main" id="{CCE87083-672B-48F9-95D4-82C76DECC255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980" y="3272661"/>
          <a:ext cx="7189591" cy="438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4"/>
  <sheetViews>
    <sheetView tabSelected="1" zoomScaleNormal="100" workbookViewId="0" xr3:uid="{AEA406A1-0E4B-5B11-9CD5-51D6E497D94C}">
      <pane xSplit="1" ySplit="8" topLeftCell="B9" activePane="bottomRight" state="frozen"/>
      <selection pane="bottomRight" activeCell="A3" sqref="A3"/>
      <selection pane="bottomLeft" activeCell="A9" sqref="A9"/>
      <selection pane="topRight" activeCell="B1" sqref="B1"/>
    </sheetView>
  </sheetViews>
  <sheetFormatPr defaultRowHeight="12.75"/>
  <cols>
    <col min="1" max="1" width="15.7109375" customWidth="1"/>
    <col min="2" max="13" width="8.28515625" customWidth="1"/>
  </cols>
  <sheetData>
    <row r="1" spans="1:39">
      <c r="A1" s="42" t="s">
        <v>0</v>
      </c>
      <c r="B1" s="42"/>
      <c r="C1" s="42"/>
      <c r="D1" s="42"/>
      <c r="E1" s="42"/>
      <c r="F1" s="2"/>
      <c r="G1" s="3" t="s">
        <v>1</v>
      </c>
      <c r="H1" s="4"/>
      <c r="M1" s="4"/>
      <c r="N1" s="4"/>
      <c r="O1" s="4"/>
      <c r="P1" s="4"/>
    </row>
    <row r="2" spans="1:39">
      <c r="A2" s="42" t="s">
        <v>2</v>
      </c>
      <c r="B2" s="42"/>
      <c r="C2" s="42"/>
      <c r="D2" s="42"/>
      <c r="E2" s="42"/>
      <c r="F2" s="43" t="s">
        <v>3</v>
      </c>
      <c r="G2" s="43"/>
      <c r="H2" s="43"/>
      <c r="I2" s="43"/>
      <c r="J2" s="43"/>
      <c r="K2" s="39"/>
      <c r="L2" s="39"/>
      <c r="M2" s="4"/>
      <c r="N2" s="4"/>
      <c r="O2" s="4"/>
      <c r="P2" s="4"/>
      <c r="X2" s="4"/>
      <c r="Y2" s="4"/>
      <c r="AA2" s="4"/>
      <c r="AB2" s="6"/>
      <c r="AC2" s="7"/>
      <c r="AD2" s="7"/>
    </row>
    <row r="3" spans="1:39">
      <c r="A3" s="8"/>
      <c r="R3" s="41" t="s">
        <v>4</v>
      </c>
      <c r="S3" s="41"/>
    </row>
    <row r="4" spans="1:39">
      <c r="A4" s="8"/>
      <c r="B4" s="9" t="s">
        <v>5</v>
      </c>
      <c r="C4" s="10" t="s">
        <v>6</v>
      </c>
      <c r="D4" s="36" t="s">
        <v>7</v>
      </c>
      <c r="E4" s="36" t="s">
        <v>8</v>
      </c>
      <c r="F4" s="11" t="s">
        <v>9</v>
      </c>
      <c r="G4" s="11" t="s">
        <v>10</v>
      </c>
      <c r="H4" s="40" t="s">
        <v>11</v>
      </c>
      <c r="I4" s="40"/>
    </row>
    <row r="5" spans="1:39">
      <c r="A5" s="8"/>
      <c r="C5" s="10" t="s">
        <v>12</v>
      </c>
      <c r="D5" s="36" t="s">
        <v>13</v>
      </c>
      <c r="E5" s="36" t="s">
        <v>14</v>
      </c>
      <c r="F5" s="5" t="s">
        <v>15</v>
      </c>
      <c r="G5" s="5" t="s">
        <v>16</v>
      </c>
      <c r="O5" s="9" t="s">
        <v>17</v>
      </c>
      <c r="P5" s="9" t="s">
        <v>18</v>
      </c>
      <c r="Q5" s="9" t="s">
        <v>19</v>
      </c>
      <c r="R5" s="9" t="s">
        <v>20</v>
      </c>
      <c r="S5" s="18"/>
      <c r="T5" s="18"/>
      <c r="U5" s="18"/>
      <c r="X5" s="36"/>
      <c r="Y5" s="36" t="s">
        <v>21</v>
      </c>
      <c r="Z5" s="12" t="s">
        <v>22</v>
      </c>
      <c r="AA5" s="36" t="s">
        <v>23</v>
      </c>
      <c r="AB5" s="13" t="s">
        <v>23</v>
      </c>
      <c r="AC5" s="36" t="s">
        <v>23</v>
      </c>
      <c r="AD5" s="36" t="s">
        <v>24</v>
      </c>
      <c r="AE5" s="36" t="s">
        <v>25</v>
      </c>
      <c r="AF5" s="36" t="s">
        <v>26</v>
      </c>
      <c r="AG5" s="14" t="s">
        <v>27</v>
      </c>
      <c r="AH5" s="36" t="s">
        <v>28</v>
      </c>
      <c r="AI5" s="14" t="s">
        <v>29</v>
      </c>
      <c r="AJ5" s="36" t="s">
        <v>30</v>
      </c>
      <c r="AM5" s="10" t="s">
        <v>31</v>
      </c>
    </row>
    <row r="6" spans="1:39">
      <c r="A6" s="8"/>
      <c r="L6" s="37" t="s">
        <v>32</v>
      </c>
      <c r="M6" s="38" t="s">
        <v>33</v>
      </c>
      <c r="N6" s="38" t="s">
        <v>34</v>
      </c>
      <c r="O6" s="18"/>
      <c r="P6" s="18"/>
      <c r="Q6" s="9" t="s">
        <v>35</v>
      </c>
      <c r="R6" s="9" t="s">
        <v>36</v>
      </c>
      <c r="S6" s="25" t="s">
        <v>37</v>
      </c>
      <c r="T6" s="18"/>
      <c r="U6" s="18"/>
      <c r="V6" s="37" t="s">
        <v>38</v>
      </c>
      <c r="W6" s="34" t="s">
        <v>39</v>
      </c>
      <c r="X6" s="8"/>
    </row>
    <row r="7" spans="1:39">
      <c r="A7" s="38" t="s">
        <v>40</v>
      </c>
      <c r="B7" s="9" t="s">
        <v>41</v>
      </c>
      <c r="C7" s="15" t="s">
        <v>42</v>
      </c>
      <c r="D7" s="9" t="s">
        <v>43</v>
      </c>
      <c r="E7" s="9" t="s">
        <v>44</v>
      </c>
      <c r="F7" s="3" t="s">
        <v>45</v>
      </c>
      <c r="G7" s="3" t="s">
        <v>46</v>
      </c>
      <c r="H7" s="9" t="s">
        <v>47</v>
      </c>
      <c r="I7" s="3" t="s">
        <v>48</v>
      </c>
      <c r="J7" s="16" t="s">
        <v>49</v>
      </c>
      <c r="K7" s="32" t="s">
        <v>50</v>
      </c>
      <c r="L7" s="32" t="s">
        <v>51</v>
      </c>
      <c r="M7" s="38" t="s">
        <v>52</v>
      </c>
      <c r="N7" s="38" t="s">
        <v>53</v>
      </c>
      <c r="O7" s="9" t="s">
        <v>54</v>
      </c>
      <c r="P7" s="9" t="s">
        <v>55</v>
      </c>
      <c r="Q7" s="9" t="s">
        <v>56</v>
      </c>
      <c r="R7" s="9" t="s">
        <v>35</v>
      </c>
      <c r="S7" s="38" t="s">
        <v>57</v>
      </c>
      <c r="T7" s="15" t="s">
        <v>58</v>
      </c>
      <c r="U7" s="15" t="s">
        <v>59</v>
      </c>
      <c r="V7" s="24" t="s">
        <v>60</v>
      </c>
      <c r="W7" s="35" t="s">
        <v>61</v>
      </c>
      <c r="X7" s="1"/>
      <c r="Y7" s="36" t="s">
        <v>62</v>
      </c>
      <c r="Z7" s="17" t="s">
        <v>63</v>
      </c>
      <c r="AA7" s="36" t="s">
        <v>64</v>
      </c>
      <c r="AB7" s="13" t="s">
        <v>65</v>
      </c>
      <c r="AC7" s="36" t="s">
        <v>66</v>
      </c>
      <c r="AD7" s="36" t="s">
        <v>67</v>
      </c>
      <c r="AE7" s="36" t="s">
        <v>68</v>
      </c>
      <c r="AF7" s="36" t="s">
        <v>69</v>
      </c>
      <c r="AG7" s="36" t="s">
        <v>70</v>
      </c>
    </row>
    <row r="8" spans="1:39">
      <c r="A8" s="8"/>
      <c r="B8" s="9" t="s">
        <v>71</v>
      </c>
      <c r="C8" s="15" t="s">
        <v>71</v>
      </c>
      <c r="D8" s="9" t="s">
        <v>72</v>
      </c>
      <c r="E8" s="9" t="s">
        <v>73</v>
      </c>
      <c r="F8" s="3" t="s">
        <v>72</v>
      </c>
      <c r="G8" s="3" t="s">
        <v>73</v>
      </c>
      <c r="H8" s="9" t="s">
        <v>71</v>
      </c>
      <c r="I8" s="18"/>
      <c r="J8" s="16" t="s">
        <v>74</v>
      </c>
      <c r="K8" s="16"/>
      <c r="L8" s="32" t="s">
        <v>75</v>
      </c>
      <c r="M8" s="38" t="s">
        <v>76</v>
      </c>
      <c r="N8" s="38" t="s">
        <v>77</v>
      </c>
      <c r="O8" s="9" t="s">
        <v>78</v>
      </c>
      <c r="P8" s="9" t="s">
        <v>79</v>
      </c>
      <c r="Q8" s="9" t="s">
        <v>80</v>
      </c>
      <c r="R8" s="9" t="s">
        <v>80</v>
      </c>
      <c r="S8" s="18"/>
      <c r="T8" s="15" t="s">
        <v>71</v>
      </c>
      <c r="U8" s="15" t="s">
        <v>71</v>
      </c>
      <c r="V8" s="24" t="s">
        <v>81</v>
      </c>
      <c r="W8" s="24" t="s">
        <v>82</v>
      </c>
      <c r="X8" s="36"/>
      <c r="Y8" s="36" t="s">
        <v>83</v>
      </c>
      <c r="Z8" s="12" t="s">
        <v>71</v>
      </c>
      <c r="AA8" s="36" t="s">
        <v>84</v>
      </c>
      <c r="AC8" s="36" t="s">
        <v>85</v>
      </c>
      <c r="AF8" s="36" t="s">
        <v>86</v>
      </c>
      <c r="AG8" s="36" t="s">
        <v>87</v>
      </c>
      <c r="AH8" s="36" t="s">
        <v>88</v>
      </c>
      <c r="AI8" s="36" t="s">
        <v>89</v>
      </c>
      <c r="AJ8" s="36" t="s">
        <v>90</v>
      </c>
      <c r="AK8" s="36" t="s">
        <v>91</v>
      </c>
      <c r="AL8" s="19" t="s">
        <v>92</v>
      </c>
      <c r="AM8" s="12" t="s">
        <v>93</v>
      </c>
    </row>
    <row r="9" spans="1:39">
      <c r="A9" s="38" t="s">
        <v>94</v>
      </c>
      <c r="B9" s="38">
        <v>1996</v>
      </c>
      <c r="C9" s="17" t="s">
        <v>95</v>
      </c>
      <c r="D9" s="1" t="s">
        <v>96</v>
      </c>
      <c r="E9" s="38" t="s">
        <v>97</v>
      </c>
      <c r="F9" s="37" t="s">
        <v>97</v>
      </c>
      <c r="G9" s="37" t="s">
        <v>97</v>
      </c>
    </row>
    <row r="10" spans="1:39">
      <c r="A10">
        <v>1</v>
      </c>
      <c r="B10">
        <v>133</v>
      </c>
      <c r="C10">
        <v>4.5</v>
      </c>
      <c r="D10">
        <v>325</v>
      </c>
      <c r="E10">
        <v>200</v>
      </c>
      <c r="F10">
        <v>33.799999999999997</v>
      </c>
      <c r="G10" s="20">
        <f>22*((F10+8)/10)^0.3</f>
        <v>33.789017623861994</v>
      </c>
      <c r="H10">
        <v>1862</v>
      </c>
      <c r="I10" s="23">
        <f>(H10/B10)</f>
        <v>14</v>
      </c>
      <c r="J10" s="22">
        <f>SQRT((64*AF10*H10*H10)/(PI()^3*((B10^4-(B10-2*C10)^4)*E10+(B10-2*C10)^4*G10*0.8/1.35)))</f>
        <v>0.59730859876925446</v>
      </c>
      <c r="K10" s="20">
        <f>B10/C10</f>
        <v>29.555555555555557</v>
      </c>
      <c r="L10" s="23">
        <f>K10/(90*235/D10)</f>
        <v>0.45416338324139743</v>
      </c>
      <c r="M10">
        <v>882</v>
      </c>
      <c r="N10" s="26" t="s">
        <v>98</v>
      </c>
      <c r="O10">
        <f>ROUND((0.85*F10*(B10-2*C10)^2+D10*(B10*B10-(B10-2*C10)^2))*PI()/4000,0)</f>
        <v>937</v>
      </c>
      <c r="P10">
        <f>ROUND((0.85*F10+6*C10*D10/(B10-2*C10))*PI()*(B10-2*C10)^2/4000,0)</f>
        <v>1202</v>
      </c>
      <c r="Q10" s="21">
        <f>0.00025*PI()*((B10*B10-(B10-2*C10)^2)*D10*AK10+F10*(B10-2*C10)^2*(1+AJ10*C10*D10/(B10*F10)))</f>
        <v>998.58177140143846</v>
      </c>
      <c r="R10" s="21">
        <f>AL10*Q10</f>
        <v>889.74840939948547</v>
      </c>
      <c r="S10" s="23">
        <f>M10/R10</f>
        <v>0.99129146024018733</v>
      </c>
      <c r="T10">
        <v>0</v>
      </c>
      <c r="U10">
        <v>0</v>
      </c>
      <c r="V10">
        <v>189</v>
      </c>
      <c r="W10" s="23">
        <f>PI()*D10*B10*C10/(1000*Q10)</f>
        <v>0.61194692165647946</v>
      </c>
      <c r="AF10">
        <f>0.00025*PI()*((B10*B10-(B10-2*C10)^2)*D10+F10*(B10-2*C10)^2)</f>
        <v>998.58177140143846</v>
      </c>
      <c r="AG10">
        <f>SQRT((64*AF10*H10*H10)/(PI()^3*((B10^4-(B10-2*C10)^4)*E10+(B10-2*C10)^4*G10*0.6)))</f>
        <v>0.59642823831324676</v>
      </c>
      <c r="AH10">
        <f>IF(AG10&gt;0.5,0,AM10)</f>
        <v>0</v>
      </c>
      <c r="AI10">
        <f>IF((0.25*(3+2*AG10))&gt;1,1,(0.25*(3+2*AG10)))</f>
        <v>1</v>
      </c>
      <c r="AJ10">
        <f>IF((T10+U10)&gt;(0.2*B10),0,AH10*(1-5*(T10+U10)/B10))</f>
        <v>0</v>
      </c>
      <c r="AK10">
        <f>IF((T10+U10)&gt;(0.2*B10),1,(AI10+(1-AI10)*5*(T10+U10)/B10))</f>
        <v>1</v>
      </c>
      <c r="AL10">
        <f>IF(J10&lt;0.2,1,1/(0.5*(1+0.21*(J10-0.2)+J10*J10)+SQRT((0.5*(1+0.21*(J10-0.2)+J10*J10))^2-J10*J10)))</f>
        <v>0.89101206819626488</v>
      </c>
      <c r="AM10">
        <f>IF((4.9-18.5*AG10+17*AG10*AG10)&lt;0,0,(4.9-18.5*AG10+17*AG10*AG10))</f>
        <v>0</v>
      </c>
    </row>
    <row r="11" spans="1:39">
      <c r="A11">
        <v>2</v>
      </c>
      <c r="B11">
        <v>133</v>
      </c>
      <c r="C11">
        <v>4.5</v>
      </c>
      <c r="D11">
        <v>325</v>
      </c>
      <c r="E11">
        <v>200</v>
      </c>
      <c r="F11">
        <v>33.799999999999997</v>
      </c>
      <c r="G11" s="20">
        <f t="shared" ref="G11:G32" si="0">22*((F11+8)/10)^0.3</f>
        <v>33.789017623861994</v>
      </c>
      <c r="H11">
        <v>1862</v>
      </c>
      <c r="I11" s="23">
        <f t="shared" ref="I11:I32" si="1">(H11/B11)</f>
        <v>14</v>
      </c>
      <c r="J11" s="22">
        <f t="shared" ref="J11:J32" si="2">SQRT((64*AF11*H11*H11)/(PI()^3*((B11^4-(B11-2*C11)^4)*E11+(B11-2*C11)^4*G11*0.8/1.35)))</f>
        <v>0.59730859876925446</v>
      </c>
      <c r="K11" s="20">
        <f t="shared" ref="K11:K32" si="3">B11/C11</f>
        <v>29.555555555555557</v>
      </c>
      <c r="L11" s="23">
        <f t="shared" ref="L11:L32" si="4">K11/(90*235/D11)</f>
        <v>0.45416338324139743</v>
      </c>
      <c r="M11">
        <v>715</v>
      </c>
      <c r="N11" s="26" t="s">
        <v>99</v>
      </c>
      <c r="O11">
        <f t="shared" ref="O11:O32" si="5">ROUND((0.85*F11*(B11-2*C11)^2+D11*(B11*B11-(B11-2*C11)^2))*PI()/4000,0)</f>
        <v>937</v>
      </c>
      <c r="P11">
        <f t="shared" ref="P11:P32" si="6">ROUND((0.85*F11+6*C11*D11/(B11-2*C11))*PI()*(B11-2*C11)^2/4000,0)</f>
        <v>1202</v>
      </c>
      <c r="Q11" s="21">
        <f t="shared" ref="Q11:Q32" si="7">0.00025*PI()*((B11*B11-(B11-2*C11)^2)*D11*AK11+F11*(B11-2*C11)^2*(1+AJ11*C11*D11/(B11*F11)))</f>
        <v>998.58177140143846</v>
      </c>
      <c r="R11" s="21">
        <f t="shared" ref="R11:R32" si="8">AL11*Q11</f>
        <v>889.74840939948547</v>
      </c>
      <c r="S11" s="23">
        <f t="shared" ref="S11:S32" si="9">M11/R11</f>
        <v>0.80359795246228338</v>
      </c>
      <c r="T11">
        <v>0</v>
      </c>
      <c r="U11">
        <v>0</v>
      </c>
      <c r="V11">
        <v>271</v>
      </c>
      <c r="W11" s="23">
        <f t="shared" ref="W11:W32" si="10">PI()*D11*B11*C11/(1000*Q11)</f>
        <v>0.61194692165647946</v>
      </c>
      <c r="AF11">
        <f t="shared" ref="AF11:AF32" si="11">0.00025*PI()*((B11*B11-(B11-2*C11)^2)*D11+F11*(B11-2*C11)^2)</f>
        <v>998.58177140143846</v>
      </c>
      <c r="AG11">
        <f t="shared" ref="AG11:AG32" si="12">SQRT((64*AF11*H11*H11)/(PI()^3*((B11^4-(B11-2*C11)^4)*E11+(B11-2*C11)^4*G11*0.6)))</f>
        <v>0.59642823831324676</v>
      </c>
      <c r="AH11">
        <f t="shared" ref="AH11:AH32" si="13">IF(AG11&gt;0.5,0,AM11)</f>
        <v>0</v>
      </c>
      <c r="AI11">
        <f t="shared" ref="AI11:AI32" si="14">IF((0.25*(3+2*AG11))&gt;1,1,(0.25*(3+2*AG11)))</f>
        <v>1</v>
      </c>
      <c r="AJ11">
        <f t="shared" ref="AJ11:AJ32" si="15">IF((T11+U11)&gt;(0.2*B11),0,AH11*(1-5*(T11+U11)/B11))</f>
        <v>0</v>
      </c>
      <c r="AK11">
        <f t="shared" ref="AK11:AK32" si="16">IF((T11+U11)&gt;(0.2*B11),1,(AI11+(1-AI11)*5*(T11+U11)/B11))</f>
        <v>1</v>
      </c>
      <c r="AL11">
        <f t="shared" ref="AL11:AL32" si="17">IF(J11&lt;0.2,1,1/(0.5*(1+0.21*(J11-0.2)+J11*J11)+SQRT((0.5*(1+0.21*(J11-0.2)+J11*J11))^2-J11*J11)))</f>
        <v>0.89101206819626488</v>
      </c>
      <c r="AM11">
        <f t="shared" ref="AM11:AM32" si="18">IF((4.9-18.5*AG11+17*AG11*AG11)&lt;0,0,(4.9-18.5*AG11+17*AG11*AG11))</f>
        <v>0</v>
      </c>
    </row>
    <row r="12" spans="1:39">
      <c r="A12">
        <v>3</v>
      </c>
      <c r="B12">
        <v>133</v>
      </c>
      <c r="C12">
        <v>4.5</v>
      </c>
      <c r="D12">
        <v>325</v>
      </c>
      <c r="E12">
        <v>200</v>
      </c>
      <c r="F12">
        <v>33.799999999999997</v>
      </c>
      <c r="G12" s="20">
        <f t="shared" si="0"/>
        <v>33.789017623861994</v>
      </c>
      <c r="H12">
        <v>2793</v>
      </c>
      <c r="I12" s="23">
        <f t="shared" si="1"/>
        <v>21</v>
      </c>
      <c r="J12" s="22">
        <f t="shared" si="2"/>
        <v>0.89596289815388175</v>
      </c>
      <c r="K12" s="20">
        <f t="shared" si="3"/>
        <v>29.555555555555557</v>
      </c>
      <c r="L12" s="23">
        <f t="shared" si="4"/>
        <v>0.45416338324139743</v>
      </c>
      <c r="M12">
        <v>784</v>
      </c>
      <c r="O12">
        <f t="shared" si="5"/>
        <v>937</v>
      </c>
      <c r="P12">
        <f t="shared" si="6"/>
        <v>1202</v>
      </c>
      <c r="Q12" s="21">
        <f t="shared" si="7"/>
        <v>998.58177140143846</v>
      </c>
      <c r="R12" s="21">
        <f t="shared" si="8"/>
        <v>735.54812528940317</v>
      </c>
      <c r="S12" s="23">
        <f t="shared" si="9"/>
        <v>1.0658717941691895</v>
      </c>
      <c r="T12">
        <v>0</v>
      </c>
      <c r="U12">
        <v>0</v>
      </c>
      <c r="V12">
        <v>201</v>
      </c>
      <c r="W12" s="23">
        <f t="shared" si="10"/>
        <v>0.61194692165647946</v>
      </c>
      <c r="AF12">
        <f t="shared" si="11"/>
        <v>998.58177140143846</v>
      </c>
      <c r="AG12">
        <f t="shared" si="12"/>
        <v>0.89464235746987009</v>
      </c>
      <c r="AH12">
        <f t="shared" si="13"/>
        <v>0</v>
      </c>
      <c r="AI12">
        <f t="shared" si="14"/>
        <v>1</v>
      </c>
      <c r="AJ12">
        <f t="shared" si="15"/>
        <v>0</v>
      </c>
      <c r="AK12">
        <f t="shared" si="16"/>
        <v>1</v>
      </c>
      <c r="AL12">
        <f t="shared" si="17"/>
        <v>0.73659278223866809</v>
      </c>
      <c r="AM12">
        <f t="shared" si="18"/>
        <v>1.9556604990546003</v>
      </c>
    </row>
    <row r="13" spans="1:39">
      <c r="A13">
        <v>4</v>
      </c>
      <c r="B13">
        <v>133</v>
      </c>
      <c r="C13">
        <v>4.5</v>
      </c>
      <c r="D13">
        <v>325</v>
      </c>
      <c r="E13">
        <v>200</v>
      </c>
      <c r="F13">
        <v>33.799999999999997</v>
      </c>
      <c r="G13" s="20">
        <f t="shared" si="0"/>
        <v>33.789017623861994</v>
      </c>
      <c r="H13">
        <v>2793</v>
      </c>
      <c r="I13" s="23">
        <f t="shared" si="1"/>
        <v>21</v>
      </c>
      <c r="J13" s="22">
        <f t="shared" si="2"/>
        <v>0.89596289815388175</v>
      </c>
      <c r="K13" s="20">
        <f t="shared" si="3"/>
        <v>29.555555555555557</v>
      </c>
      <c r="L13" s="23">
        <f t="shared" si="4"/>
        <v>0.45416338324139743</v>
      </c>
      <c r="M13">
        <v>800</v>
      </c>
      <c r="O13">
        <f t="shared" si="5"/>
        <v>937</v>
      </c>
      <c r="P13">
        <f t="shared" si="6"/>
        <v>1202</v>
      </c>
      <c r="Q13" s="21">
        <f t="shared" si="7"/>
        <v>998.58177140143846</v>
      </c>
      <c r="R13" s="21">
        <f t="shared" si="8"/>
        <v>735.54812528940317</v>
      </c>
      <c r="S13" s="23">
        <f t="shared" si="9"/>
        <v>1.0876242797644791</v>
      </c>
      <c r="T13">
        <v>0</v>
      </c>
      <c r="U13">
        <v>0</v>
      </c>
      <c r="V13">
        <v>319</v>
      </c>
      <c r="W13" s="23">
        <f t="shared" si="10"/>
        <v>0.61194692165647946</v>
      </c>
      <c r="AF13">
        <f t="shared" si="11"/>
        <v>998.58177140143846</v>
      </c>
      <c r="AG13">
        <f t="shared" si="12"/>
        <v>0.89464235746987009</v>
      </c>
      <c r="AH13">
        <f t="shared" si="13"/>
        <v>0</v>
      </c>
      <c r="AI13">
        <f t="shared" si="14"/>
        <v>1</v>
      </c>
      <c r="AJ13">
        <f t="shared" si="15"/>
        <v>0</v>
      </c>
      <c r="AK13">
        <f t="shared" si="16"/>
        <v>1</v>
      </c>
      <c r="AL13">
        <f t="shared" si="17"/>
        <v>0.73659278223866809</v>
      </c>
      <c r="AM13">
        <f t="shared" si="18"/>
        <v>1.9556604990546003</v>
      </c>
    </row>
    <row r="14" spans="1:39">
      <c r="A14">
        <v>5</v>
      </c>
      <c r="B14">
        <v>133</v>
      </c>
      <c r="C14">
        <v>4.5</v>
      </c>
      <c r="D14">
        <v>325</v>
      </c>
      <c r="E14">
        <v>200</v>
      </c>
      <c r="F14">
        <v>33.799999999999997</v>
      </c>
      <c r="G14" s="20">
        <f t="shared" si="0"/>
        <v>33.789017623861994</v>
      </c>
      <c r="H14">
        <v>465</v>
      </c>
      <c r="I14" s="23">
        <f t="shared" si="1"/>
        <v>3.4962406015037595</v>
      </c>
      <c r="J14" s="22">
        <f t="shared" si="2"/>
        <v>0.14916675533174187</v>
      </c>
      <c r="K14" s="20">
        <f t="shared" si="3"/>
        <v>29.555555555555557</v>
      </c>
      <c r="L14" s="23">
        <f t="shared" si="4"/>
        <v>0.45416338324139743</v>
      </c>
      <c r="M14">
        <v>591</v>
      </c>
      <c r="O14">
        <f t="shared" si="5"/>
        <v>937</v>
      </c>
      <c r="P14">
        <f t="shared" si="6"/>
        <v>1202</v>
      </c>
      <c r="Q14" s="21">
        <f t="shared" si="7"/>
        <v>998.58177140143846</v>
      </c>
      <c r="R14" s="21">
        <f t="shared" si="8"/>
        <v>998.58177140143846</v>
      </c>
      <c r="S14" s="23">
        <f t="shared" si="9"/>
        <v>0.5918393635110859</v>
      </c>
      <c r="T14">
        <v>50</v>
      </c>
      <c r="U14">
        <v>50</v>
      </c>
      <c r="V14">
        <v>124</v>
      </c>
      <c r="W14" s="23">
        <f t="shared" si="10"/>
        <v>0.61194692165647946</v>
      </c>
      <c r="AF14">
        <f t="shared" si="11"/>
        <v>998.58177140143846</v>
      </c>
      <c r="AG14">
        <f t="shared" si="12"/>
        <v>0.14894690161958093</v>
      </c>
      <c r="AH14">
        <f t="shared" si="13"/>
        <v>2.5216303715729964</v>
      </c>
      <c r="AI14">
        <f t="shared" si="14"/>
        <v>0.82447345080979051</v>
      </c>
      <c r="AJ14">
        <f t="shared" si="15"/>
        <v>0</v>
      </c>
      <c r="AK14">
        <f t="shared" si="16"/>
        <v>1</v>
      </c>
      <c r="AL14">
        <f t="shared" si="17"/>
        <v>1</v>
      </c>
      <c r="AM14">
        <f t="shared" si="18"/>
        <v>2.5216303715729964</v>
      </c>
    </row>
    <row r="15" spans="1:39">
      <c r="A15">
        <v>6</v>
      </c>
      <c r="B15">
        <v>133</v>
      </c>
      <c r="C15">
        <v>4.5</v>
      </c>
      <c r="D15">
        <v>325</v>
      </c>
      <c r="E15">
        <v>200</v>
      </c>
      <c r="F15">
        <v>33.799999999999997</v>
      </c>
      <c r="G15" s="20">
        <f t="shared" si="0"/>
        <v>33.789017623861994</v>
      </c>
      <c r="H15">
        <v>465</v>
      </c>
      <c r="I15" s="23">
        <f t="shared" si="1"/>
        <v>3.4962406015037595</v>
      </c>
      <c r="J15" s="22">
        <f t="shared" si="2"/>
        <v>0.14916675533174187</v>
      </c>
      <c r="K15" s="20">
        <f t="shared" si="3"/>
        <v>29.555555555555557</v>
      </c>
      <c r="L15" s="23">
        <f t="shared" si="4"/>
        <v>0.45416338324139743</v>
      </c>
      <c r="M15">
        <v>576</v>
      </c>
      <c r="O15">
        <f t="shared" si="5"/>
        <v>937</v>
      </c>
      <c r="P15">
        <f t="shared" si="6"/>
        <v>1202</v>
      </c>
      <c r="Q15" s="21">
        <f t="shared" si="7"/>
        <v>998.58177140143846</v>
      </c>
      <c r="R15" s="21">
        <f t="shared" si="8"/>
        <v>998.58177140143846</v>
      </c>
      <c r="S15" s="23">
        <f t="shared" si="9"/>
        <v>0.57681805986867252</v>
      </c>
      <c r="T15">
        <v>50</v>
      </c>
      <c r="U15">
        <v>50</v>
      </c>
      <c r="V15">
        <v>177</v>
      </c>
      <c r="W15" s="23">
        <f t="shared" si="10"/>
        <v>0.61194692165647946</v>
      </c>
      <c r="AF15">
        <f t="shared" si="11"/>
        <v>998.58177140143846</v>
      </c>
      <c r="AG15">
        <f t="shared" si="12"/>
        <v>0.14894690161958093</v>
      </c>
      <c r="AH15">
        <f t="shared" si="13"/>
        <v>2.5216303715729964</v>
      </c>
      <c r="AI15">
        <f t="shared" si="14"/>
        <v>0.82447345080979051</v>
      </c>
      <c r="AJ15">
        <f t="shared" si="15"/>
        <v>0</v>
      </c>
      <c r="AK15">
        <f t="shared" si="16"/>
        <v>1</v>
      </c>
      <c r="AL15">
        <f t="shared" si="17"/>
        <v>1</v>
      </c>
      <c r="AM15">
        <f t="shared" si="18"/>
        <v>2.5216303715729964</v>
      </c>
    </row>
    <row r="16" spans="1:39">
      <c r="A16">
        <v>7</v>
      </c>
      <c r="B16">
        <v>133</v>
      </c>
      <c r="C16">
        <v>4.5</v>
      </c>
      <c r="D16">
        <v>325</v>
      </c>
      <c r="E16">
        <v>200</v>
      </c>
      <c r="F16">
        <v>33.799999999999997</v>
      </c>
      <c r="G16" s="20">
        <f t="shared" si="0"/>
        <v>33.789017623861994</v>
      </c>
      <c r="H16">
        <v>465</v>
      </c>
      <c r="I16" s="23">
        <f t="shared" si="1"/>
        <v>3.4962406015037595</v>
      </c>
      <c r="J16" s="22">
        <f t="shared" si="2"/>
        <v>0.14916675533174187</v>
      </c>
      <c r="K16" s="20">
        <f t="shared" si="3"/>
        <v>29.555555555555557</v>
      </c>
      <c r="L16" s="23">
        <f t="shared" si="4"/>
        <v>0.45416338324139743</v>
      </c>
      <c r="M16">
        <v>582</v>
      </c>
      <c r="O16">
        <f t="shared" si="5"/>
        <v>937</v>
      </c>
      <c r="P16">
        <f t="shared" si="6"/>
        <v>1202</v>
      </c>
      <c r="Q16" s="21">
        <f t="shared" si="7"/>
        <v>998.58177140143846</v>
      </c>
      <c r="R16" s="21">
        <f t="shared" si="8"/>
        <v>998.58177140143846</v>
      </c>
      <c r="S16" s="23">
        <f t="shared" si="9"/>
        <v>0.58282658132563792</v>
      </c>
      <c r="T16">
        <v>50</v>
      </c>
      <c r="U16">
        <v>50</v>
      </c>
      <c r="V16">
        <v>236</v>
      </c>
      <c r="W16" s="23">
        <f t="shared" si="10"/>
        <v>0.61194692165647946</v>
      </c>
      <c r="AF16">
        <f t="shared" si="11"/>
        <v>998.58177140143846</v>
      </c>
      <c r="AG16">
        <f t="shared" si="12"/>
        <v>0.14894690161958093</v>
      </c>
      <c r="AH16">
        <f t="shared" si="13"/>
        <v>2.5216303715729964</v>
      </c>
      <c r="AI16">
        <f t="shared" si="14"/>
        <v>0.82447345080979051</v>
      </c>
      <c r="AJ16">
        <f t="shared" si="15"/>
        <v>0</v>
      </c>
      <c r="AK16">
        <f t="shared" si="16"/>
        <v>1</v>
      </c>
      <c r="AL16">
        <f t="shared" si="17"/>
        <v>1</v>
      </c>
      <c r="AM16">
        <f t="shared" si="18"/>
        <v>2.5216303715729964</v>
      </c>
    </row>
    <row r="17" spans="1:39">
      <c r="A17">
        <v>8</v>
      </c>
      <c r="B17">
        <v>133</v>
      </c>
      <c r="C17">
        <v>4.5</v>
      </c>
      <c r="D17">
        <v>325</v>
      </c>
      <c r="E17">
        <v>200</v>
      </c>
      <c r="F17">
        <v>33.799999999999997</v>
      </c>
      <c r="G17" s="20">
        <f t="shared" si="0"/>
        <v>33.789017623861994</v>
      </c>
      <c r="H17">
        <v>465</v>
      </c>
      <c r="I17" s="23">
        <f t="shared" si="1"/>
        <v>3.4962406015037595</v>
      </c>
      <c r="J17" s="22">
        <f t="shared" si="2"/>
        <v>0.14916675533174187</v>
      </c>
      <c r="K17" s="20">
        <f t="shared" si="3"/>
        <v>29.555555555555557</v>
      </c>
      <c r="L17" s="23">
        <f t="shared" si="4"/>
        <v>0.45416338324139743</v>
      </c>
      <c r="M17">
        <v>576</v>
      </c>
      <c r="O17">
        <f t="shared" si="5"/>
        <v>937</v>
      </c>
      <c r="P17">
        <f t="shared" si="6"/>
        <v>1202</v>
      </c>
      <c r="Q17" s="21">
        <f t="shared" si="7"/>
        <v>998.58177140143846</v>
      </c>
      <c r="R17" s="21">
        <f t="shared" si="8"/>
        <v>998.58177140143846</v>
      </c>
      <c r="S17" s="23">
        <f t="shared" si="9"/>
        <v>0.57681805986867252</v>
      </c>
      <c r="T17">
        <v>50</v>
      </c>
      <c r="U17">
        <v>50</v>
      </c>
      <c r="V17">
        <v>260</v>
      </c>
      <c r="W17" s="23">
        <f t="shared" si="10"/>
        <v>0.61194692165647946</v>
      </c>
      <c r="AF17">
        <f t="shared" si="11"/>
        <v>998.58177140143846</v>
      </c>
      <c r="AG17">
        <f t="shared" si="12"/>
        <v>0.14894690161958093</v>
      </c>
      <c r="AH17">
        <f t="shared" si="13"/>
        <v>2.5216303715729964</v>
      </c>
      <c r="AI17">
        <f t="shared" si="14"/>
        <v>0.82447345080979051</v>
      </c>
      <c r="AJ17">
        <f t="shared" si="15"/>
        <v>0</v>
      </c>
      <c r="AK17">
        <f t="shared" si="16"/>
        <v>1</v>
      </c>
      <c r="AL17">
        <f t="shared" si="17"/>
        <v>1</v>
      </c>
      <c r="AM17">
        <f t="shared" si="18"/>
        <v>2.5216303715729964</v>
      </c>
    </row>
    <row r="18" spans="1:39">
      <c r="A18">
        <v>9</v>
      </c>
      <c r="B18">
        <v>133</v>
      </c>
      <c r="C18">
        <v>4.5</v>
      </c>
      <c r="D18">
        <v>325</v>
      </c>
      <c r="E18">
        <v>200</v>
      </c>
      <c r="F18">
        <v>33.799999999999997</v>
      </c>
      <c r="G18" s="20">
        <f t="shared" si="0"/>
        <v>33.789017623861994</v>
      </c>
      <c r="H18">
        <v>465</v>
      </c>
      <c r="I18" s="23">
        <f t="shared" si="1"/>
        <v>3.4962406015037595</v>
      </c>
      <c r="J18" s="22">
        <f t="shared" si="2"/>
        <v>0.14916675533174187</v>
      </c>
      <c r="K18" s="20">
        <f t="shared" si="3"/>
        <v>29.555555555555557</v>
      </c>
      <c r="L18" s="23">
        <f t="shared" si="4"/>
        <v>0.45416338324139743</v>
      </c>
      <c r="M18">
        <v>568</v>
      </c>
      <c r="O18">
        <f t="shared" si="5"/>
        <v>937</v>
      </c>
      <c r="P18">
        <f t="shared" si="6"/>
        <v>1202</v>
      </c>
      <c r="Q18" s="21">
        <f t="shared" si="7"/>
        <v>998.58177140143846</v>
      </c>
      <c r="R18" s="21">
        <f t="shared" si="8"/>
        <v>998.58177140143846</v>
      </c>
      <c r="S18" s="23">
        <f t="shared" si="9"/>
        <v>0.5688066979260521</v>
      </c>
      <c r="T18">
        <v>50</v>
      </c>
      <c r="U18">
        <v>50</v>
      </c>
      <c r="V18">
        <v>289</v>
      </c>
      <c r="W18" s="23">
        <f t="shared" si="10"/>
        <v>0.61194692165647946</v>
      </c>
      <c r="AF18">
        <f t="shared" si="11"/>
        <v>998.58177140143846</v>
      </c>
      <c r="AG18">
        <f t="shared" si="12"/>
        <v>0.14894690161958093</v>
      </c>
      <c r="AH18">
        <f t="shared" si="13"/>
        <v>2.5216303715729964</v>
      </c>
      <c r="AI18">
        <f t="shared" si="14"/>
        <v>0.82447345080979051</v>
      </c>
      <c r="AJ18">
        <f t="shared" si="15"/>
        <v>0</v>
      </c>
      <c r="AK18">
        <f t="shared" si="16"/>
        <v>1</v>
      </c>
      <c r="AL18">
        <f t="shared" si="17"/>
        <v>1</v>
      </c>
      <c r="AM18">
        <f t="shared" si="18"/>
        <v>2.5216303715729964</v>
      </c>
    </row>
    <row r="19" spans="1:39">
      <c r="A19">
        <v>10</v>
      </c>
      <c r="B19">
        <v>133</v>
      </c>
      <c r="C19">
        <v>4.5</v>
      </c>
      <c r="D19">
        <v>325</v>
      </c>
      <c r="E19">
        <v>200</v>
      </c>
      <c r="F19">
        <v>33.799999999999997</v>
      </c>
      <c r="G19" s="20">
        <f t="shared" si="0"/>
        <v>33.789017623861994</v>
      </c>
      <c r="H19">
        <v>465</v>
      </c>
      <c r="I19" s="23">
        <f t="shared" si="1"/>
        <v>3.4962406015037595</v>
      </c>
      <c r="J19" s="22">
        <f t="shared" si="2"/>
        <v>0.14916675533174187</v>
      </c>
      <c r="K19" s="20">
        <f t="shared" si="3"/>
        <v>29.555555555555557</v>
      </c>
      <c r="L19" s="23">
        <f t="shared" si="4"/>
        <v>0.45416338324139743</v>
      </c>
      <c r="M19">
        <v>559</v>
      </c>
      <c r="O19">
        <f t="shared" si="5"/>
        <v>937</v>
      </c>
      <c r="P19">
        <f t="shared" si="6"/>
        <v>1202</v>
      </c>
      <c r="Q19" s="21">
        <f t="shared" si="7"/>
        <v>998.58177140143846</v>
      </c>
      <c r="R19" s="21">
        <f t="shared" si="8"/>
        <v>998.58177140143846</v>
      </c>
      <c r="S19" s="23">
        <f t="shared" si="9"/>
        <v>0.55979391574060411</v>
      </c>
      <c r="T19">
        <v>50</v>
      </c>
      <c r="U19">
        <v>50</v>
      </c>
      <c r="V19">
        <v>360</v>
      </c>
      <c r="W19" s="23">
        <f t="shared" si="10"/>
        <v>0.61194692165647946</v>
      </c>
      <c r="AF19">
        <f t="shared" si="11"/>
        <v>998.58177140143846</v>
      </c>
      <c r="AG19">
        <f t="shared" si="12"/>
        <v>0.14894690161958093</v>
      </c>
      <c r="AH19">
        <f t="shared" si="13"/>
        <v>2.5216303715729964</v>
      </c>
      <c r="AI19">
        <f t="shared" si="14"/>
        <v>0.82447345080979051</v>
      </c>
      <c r="AJ19">
        <f t="shared" si="15"/>
        <v>0</v>
      </c>
      <c r="AK19">
        <f t="shared" si="16"/>
        <v>1</v>
      </c>
      <c r="AL19">
        <f t="shared" si="17"/>
        <v>1</v>
      </c>
      <c r="AM19">
        <f t="shared" si="18"/>
        <v>2.5216303715729964</v>
      </c>
    </row>
    <row r="20" spans="1:39">
      <c r="A20">
        <v>11</v>
      </c>
      <c r="B20">
        <v>133</v>
      </c>
      <c r="C20">
        <v>4.5</v>
      </c>
      <c r="D20">
        <v>325</v>
      </c>
      <c r="E20">
        <v>200</v>
      </c>
      <c r="F20">
        <v>33.799999999999997</v>
      </c>
      <c r="G20" s="20">
        <f t="shared" si="0"/>
        <v>33.789017623861994</v>
      </c>
      <c r="H20">
        <v>465</v>
      </c>
      <c r="I20" s="23">
        <f t="shared" si="1"/>
        <v>3.4962406015037595</v>
      </c>
      <c r="J20" s="22">
        <f t="shared" si="2"/>
        <v>0.14916675533174187</v>
      </c>
      <c r="K20" s="20">
        <f t="shared" si="3"/>
        <v>29.555555555555557</v>
      </c>
      <c r="L20" s="23">
        <f t="shared" si="4"/>
        <v>0.45416338324139743</v>
      </c>
      <c r="M20">
        <v>500</v>
      </c>
      <c r="O20">
        <f t="shared" si="5"/>
        <v>937</v>
      </c>
      <c r="P20">
        <f t="shared" si="6"/>
        <v>1202</v>
      </c>
      <c r="Q20" s="21">
        <f t="shared" si="7"/>
        <v>998.58177140143846</v>
      </c>
      <c r="R20" s="21">
        <f t="shared" si="8"/>
        <v>998.58177140143846</v>
      </c>
      <c r="S20" s="23">
        <f t="shared" si="9"/>
        <v>0.50071012141377824</v>
      </c>
      <c r="T20">
        <v>60</v>
      </c>
      <c r="U20">
        <v>60</v>
      </c>
      <c r="V20">
        <v>254</v>
      </c>
      <c r="W20" s="23">
        <f t="shared" si="10"/>
        <v>0.61194692165647946</v>
      </c>
      <c r="AF20">
        <f t="shared" si="11"/>
        <v>998.58177140143846</v>
      </c>
      <c r="AG20">
        <f t="shared" si="12"/>
        <v>0.14894690161958093</v>
      </c>
      <c r="AH20">
        <f t="shared" si="13"/>
        <v>2.5216303715729964</v>
      </c>
      <c r="AI20">
        <f t="shared" si="14"/>
        <v>0.82447345080979051</v>
      </c>
      <c r="AJ20">
        <f t="shared" si="15"/>
        <v>0</v>
      </c>
      <c r="AK20">
        <f t="shared" si="16"/>
        <v>1</v>
      </c>
      <c r="AL20">
        <f t="shared" si="17"/>
        <v>1</v>
      </c>
      <c r="AM20">
        <f t="shared" si="18"/>
        <v>2.5216303715729964</v>
      </c>
    </row>
    <row r="21" spans="1:39">
      <c r="A21">
        <v>12</v>
      </c>
      <c r="B21">
        <v>133</v>
      </c>
      <c r="C21">
        <v>4.5</v>
      </c>
      <c r="D21">
        <v>325</v>
      </c>
      <c r="E21">
        <v>200</v>
      </c>
      <c r="F21">
        <v>33.799999999999997</v>
      </c>
      <c r="G21" s="20">
        <f t="shared" si="0"/>
        <v>33.789017623861994</v>
      </c>
      <c r="H21">
        <v>465</v>
      </c>
      <c r="I21" s="23">
        <f t="shared" si="1"/>
        <v>3.4962406015037595</v>
      </c>
      <c r="J21" s="22">
        <f t="shared" si="2"/>
        <v>0.14916675533174187</v>
      </c>
      <c r="K21" s="20">
        <f t="shared" si="3"/>
        <v>29.555555555555557</v>
      </c>
      <c r="L21" s="23">
        <f t="shared" si="4"/>
        <v>0.45416338324139743</v>
      </c>
      <c r="M21">
        <v>492</v>
      </c>
      <c r="O21">
        <f t="shared" si="5"/>
        <v>937</v>
      </c>
      <c r="P21">
        <f t="shared" si="6"/>
        <v>1202</v>
      </c>
      <c r="Q21" s="21">
        <f t="shared" si="7"/>
        <v>998.58177140143846</v>
      </c>
      <c r="R21" s="21">
        <f t="shared" si="8"/>
        <v>998.58177140143846</v>
      </c>
      <c r="S21" s="23">
        <f t="shared" si="9"/>
        <v>0.49269875947115777</v>
      </c>
      <c r="T21">
        <v>60</v>
      </c>
      <c r="U21">
        <v>60</v>
      </c>
      <c r="V21">
        <v>342</v>
      </c>
      <c r="W21" s="23">
        <f t="shared" si="10"/>
        <v>0.61194692165647946</v>
      </c>
      <c r="AF21">
        <f t="shared" si="11"/>
        <v>998.58177140143846</v>
      </c>
      <c r="AG21">
        <f t="shared" si="12"/>
        <v>0.14894690161958093</v>
      </c>
      <c r="AH21">
        <f t="shared" si="13"/>
        <v>2.5216303715729964</v>
      </c>
      <c r="AI21">
        <f t="shared" si="14"/>
        <v>0.82447345080979051</v>
      </c>
      <c r="AJ21">
        <f t="shared" si="15"/>
        <v>0</v>
      </c>
      <c r="AK21">
        <f t="shared" si="16"/>
        <v>1</v>
      </c>
      <c r="AL21">
        <f t="shared" si="17"/>
        <v>1</v>
      </c>
      <c r="AM21">
        <f t="shared" si="18"/>
        <v>2.5216303715729964</v>
      </c>
    </row>
    <row r="22" spans="1:39">
      <c r="A22">
        <v>13</v>
      </c>
      <c r="B22">
        <v>133</v>
      </c>
      <c r="C22">
        <v>2.9</v>
      </c>
      <c r="D22">
        <v>325</v>
      </c>
      <c r="E22">
        <v>200</v>
      </c>
      <c r="F22">
        <v>33.799999999999997</v>
      </c>
      <c r="G22" s="20">
        <f t="shared" si="0"/>
        <v>33.789017623861994</v>
      </c>
      <c r="H22">
        <v>465</v>
      </c>
      <c r="I22" s="23">
        <f t="shared" si="1"/>
        <v>3.4962406015037595</v>
      </c>
      <c r="J22" s="22">
        <f t="shared" si="2"/>
        <v>0.15334124926746162</v>
      </c>
      <c r="K22" s="20">
        <f t="shared" si="3"/>
        <v>45.862068965517246</v>
      </c>
      <c r="L22" s="23">
        <f t="shared" si="4"/>
        <v>0.70473628434009949</v>
      </c>
      <c r="M22">
        <v>476</v>
      </c>
      <c r="O22">
        <f t="shared" si="5"/>
        <v>750</v>
      </c>
      <c r="P22">
        <f t="shared" si="6"/>
        <v>930</v>
      </c>
      <c r="Q22" s="21">
        <f t="shared" si="7"/>
        <v>814.73717674687271</v>
      </c>
      <c r="R22" s="21">
        <f t="shared" si="8"/>
        <v>814.73717674687271</v>
      </c>
      <c r="S22" s="23">
        <f t="shared" si="9"/>
        <v>0.58423748613092497</v>
      </c>
      <c r="T22">
        <v>50</v>
      </c>
      <c r="U22">
        <v>50</v>
      </c>
      <c r="V22">
        <v>162</v>
      </c>
      <c r="W22" s="23">
        <f t="shared" si="10"/>
        <v>0.48335402427753044</v>
      </c>
      <c r="AF22">
        <f t="shared" si="11"/>
        <v>814.73717674687271</v>
      </c>
      <c r="AG22">
        <f t="shared" si="12"/>
        <v>0.15301742749272298</v>
      </c>
      <c r="AH22">
        <f t="shared" si="13"/>
        <v>2.4672212543649676</v>
      </c>
      <c r="AI22">
        <f t="shared" si="14"/>
        <v>0.82650871374636148</v>
      </c>
      <c r="AJ22">
        <f t="shared" si="15"/>
        <v>0</v>
      </c>
      <c r="AK22">
        <f t="shared" si="16"/>
        <v>1</v>
      </c>
      <c r="AL22">
        <f t="shared" si="17"/>
        <v>1</v>
      </c>
      <c r="AM22">
        <f t="shared" si="18"/>
        <v>2.4672212543649676</v>
      </c>
    </row>
    <row r="23" spans="1:39">
      <c r="A23">
        <v>14</v>
      </c>
      <c r="B23">
        <v>133</v>
      </c>
      <c r="C23">
        <v>2.9</v>
      </c>
      <c r="D23">
        <v>325</v>
      </c>
      <c r="E23">
        <v>200</v>
      </c>
      <c r="F23">
        <v>33.799999999999997</v>
      </c>
      <c r="G23" s="20">
        <f t="shared" si="0"/>
        <v>33.789017623861994</v>
      </c>
      <c r="H23">
        <v>465</v>
      </c>
      <c r="I23" s="23">
        <f t="shared" si="1"/>
        <v>3.4962406015037595</v>
      </c>
      <c r="J23" s="22">
        <f t="shared" si="2"/>
        <v>0.15334124926746162</v>
      </c>
      <c r="K23" s="20">
        <f t="shared" si="3"/>
        <v>45.862068965517246</v>
      </c>
      <c r="L23" s="23">
        <f t="shared" si="4"/>
        <v>0.70473628434009949</v>
      </c>
      <c r="M23">
        <v>476</v>
      </c>
      <c r="O23">
        <f t="shared" si="5"/>
        <v>750</v>
      </c>
      <c r="P23">
        <f t="shared" si="6"/>
        <v>930</v>
      </c>
      <c r="Q23" s="21">
        <f t="shared" si="7"/>
        <v>814.73717674687271</v>
      </c>
      <c r="R23" s="21">
        <f t="shared" si="8"/>
        <v>814.73717674687271</v>
      </c>
      <c r="S23" s="23">
        <f t="shared" si="9"/>
        <v>0.58423748613092497</v>
      </c>
      <c r="T23">
        <v>50</v>
      </c>
      <c r="U23">
        <v>50</v>
      </c>
      <c r="V23">
        <v>243</v>
      </c>
      <c r="W23" s="23">
        <f t="shared" si="10"/>
        <v>0.48335402427753044</v>
      </c>
      <c r="AF23">
        <f t="shared" si="11"/>
        <v>814.73717674687271</v>
      </c>
      <c r="AG23">
        <f t="shared" si="12"/>
        <v>0.15301742749272298</v>
      </c>
      <c r="AH23">
        <f t="shared" si="13"/>
        <v>2.4672212543649676</v>
      </c>
      <c r="AI23">
        <f t="shared" si="14"/>
        <v>0.82650871374636148</v>
      </c>
      <c r="AJ23">
        <f t="shared" si="15"/>
        <v>0</v>
      </c>
      <c r="AK23">
        <f t="shared" si="16"/>
        <v>1</v>
      </c>
      <c r="AL23">
        <f t="shared" si="17"/>
        <v>1</v>
      </c>
      <c r="AM23">
        <f t="shared" si="18"/>
        <v>2.4672212543649676</v>
      </c>
    </row>
    <row r="24" spans="1:39">
      <c r="A24">
        <v>15</v>
      </c>
      <c r="B24">
        <v>133</v>
      </c>
      <c r="C24">
        <v>2.9</v>
      </c>
      <c r="D24">
        <v>325</v>
      </c>
      <c r="E24">
        <v>200</v>
      </c>
      <c r="F24">
        <v>33.799999999999997</v>
      </c>
      <c r="G24" s="20">
        <f t="shared" si="0"/>
        <v>33.789017623861994</v>
      </c>
      <c r="H24">
        <v>465</v>
      </c>
      <c r="I24" s="23">
        <f t="shared" si="1"/>
        <v>3.4962406015037595</v>
      </c>
      <c r="J24" s="22">
        <f t="shared" si="2"/>
        <v>0.15334124926746162</v>
      </c>
      <c r="K24" s="20">
        <f t="shared" si="3"/>
        <v>45.862068965517246</v>
      </c>
      <c r="L24" s="23">
        <f t="shared" si="4"/>
        <v>0.70473628434009949</v>
      </c>
      <c r="M24">
        <v>466</v>
      </c>
      <c r="O24">
        <f t="shared" si="5"/>
        <v>750</v>
      </c>
      <c r="P24">
        <f t="shared" si="6"/>
        <v>930</v>
      </c>
      <c r="Q24" s="21">
        <f t="shared" si="7"/>
        <v>814.73717674687271</v>
      </c>
      <c r="R24" s="21">
        <f t="shared" si="8"/>
        <v>814.73717674687271</v>
      </c>
      <c r="S24" s="23">
        <f t="shared" si="9"/>
        <v>0.57196358936346858</v>
      </c>
      <c r="T24">
        <v>50</v>
      </c>
      <c r="U24">
        <v>50</v>
      </c>
      <c r="V24">
        <v>320</v>
      </c>
      <c r="W24" s="23">
        <f t="shared" si="10"/>
        <v>0.48335402427753044</v>
      </c>
      <c r="AF24">
        <f t="shared" si="11"/>
        <v>814.73717674687271</v>
      </c>
      <c r="AG24">
        <f t="shared" si="12"/>
        <v>0.15301742749272298</v>
      </c>
      <c r="AH24">
        <f t="shared" si="13"/>
        <v>2.4672212543649676</v>
      </c>
      <c r="AI24">
        <f t="shared" si="14"/>
        <v>0.82650871374636148</v>
      </c>
      <c r="AJ24">
        <f t="shared" si="15"/>
        <v>0</v>
      </c>
      <c r="AK24">
        <f t="shared" si="16"/>
        <v>1</v>
      </c>
      <c r="AL24">
        <f t="shared" si="17"/>
        <v>1</v>
      </c>
      <c r="AM24">
        <f t="shared" si="18"/>
        <v>2.4672212543649676</v>
      </c>
    </row>
    <row r="25" spans="1:39">
      <c r="A25">
        <v>16</v>
      </c>
      <c r="B25">
        <v>133</v>
      </c>
      <c r="C25">
        <v>4.5</v>
      </c>
      <c r="D25">
        <v>325</v>
      </c>
      <c r="E25">
        <v>200</v>
      </c>
      <c r="F25">
        <v>33.799999999999997</v>
      </c>
      <c r="G25" s="20">
        <f t="shared" si="0"/>
        <v>33.789017623861994</v>
      </c>
      <c r="H25">
        <v>1670</v>
      </c>
      <c r="I25" s="23">
        <f t="shared" si="1"/>
        <v>12.556390977443609</v>
      </c>
      <c r="J25" s="22">
        <f t="shared" si="2"/>
        <v>0.53571716430969651</v>
      </c>
      <c r="K25" s="20">
        <f t="shared" si="3"/>
        <v>29.555555555555557</v>
      </c>
      <c r="L25" s="23">
        <f t="shared" si="4"/>
        <v>0.45416338324139743</v>
      </c>
      <c r="M25">
        <v>430</v>
      </c>
      <c r="O25">
        <f t="shared" si="5"/>
        <v>937</v>
      </c>
      <c r="P25">
        <f t="shared" si="6"/>
        <v>1202</v>
      </c>
      <c r="Q25" s="21">
        <f t="shared" si="7"/>
        <v>998.58177140143846</v>
      </c>
      <c r="R25" s="21">
        <f t="shared" si="8"/>
        <v>911.50965421543731</v>
      </c>
      <c r="S25" s="23">
        <f t="shared" si="9"/>
        <v>0.4717448663449576</v>
      </c>
      <c r="T25">
        <v>50</v>
      </c>
      <c r="U25">
        <v>50</v>
      </c>
      <c r="V25">
        <v>148</v>
      </c>
      <c r="W25" s="23">
        <f t="shared" si="10"/>
        <v>0.61194692165647946</v>
      </c>
      <c r="AF25">
        <f t="shared" si="11"/>
        <v>998.58177140143846</v>
      </c>
      <c r="AG25">
        <f t="shared" si="12"/>
        <v>0.53492758216064551</v>
      </c>
      <c r="AH25">
        <f t="shared" si="13"/>
        <v>0</v>
      </c>
      <c r="AI25">
        <f t="shared" si="14"/>
        <v>1</v>
      </c>
      <c r="AJ25">
        <f t="shared" si="15"/>
        <v>0</v>
      </c>
      <c r="AK25">
        <f t="shared" si="16"/>
        <v>1</v>
      </c>
      <c r="AL25">
        <f t="shared" si="17"/>
        <v>0.91280421926408528</v>
      </c>
      <c r="AM25">
        <f t="shared" si="18"/>
        <v>0</v>
      </c>
    </row>
    <row r="26" spans="1:39">
      <c r="A26">
        <v>17</v>
      </c>
      <c r="B26">
        <v>133</v>
      </c>
      <c r="C26">
        <v>4.5</v>
      </c>
      <c r="D26">
        <v>325</v>
      </c>
      <c r="E26">
        <v>200</v>
      </c>
      <c r="F26">
        <v>33.799999999999997</v>
      </c>
      <c r="G26" s="20">
        <f t="shared" si="0"/>
        <v>33.789017623861994</v>
      </c>
      <c r="H26">
        <v>1670</v>
      </c>
      <c r="I26" s="23">
        <f t="shared" si="1"/>
        <v>12.556390977443609</v>
      </c>
      <c r="J26" s="22">
        <f t="shared" si="2"/>
        <v>0.53571716430969651</v>
      </c>
      <c r="K26" s="20">
        <f t="shared" si="3"/>
        <v>29.555555555555557</v>
      </c>
      <c r="L26" s="23">
        <f t="shared" si="4"/>
        <v>0.45416338324139743</v>
      </c>
      <c r="M26">
        <v>416</v>
      </c>
      <c r="O26">
        <f t="shared" si="5"/>
        <v>937</v>
      </c>
      <c r="P26">
        <f t="shared" si="6"/>
        <v>1202</v>
      </c>
      <c r="Q26" s="21">
        <f t="shared" si="7"/>
        <v>998.58177140143846</v>
      </c>
      <c r="R26" s="21">
        <f t="shared" si="8"/>
        <v>911.50965421543731</v>
      </c>
      <c r="S26" s="23">
        <f t="shared" si="9"/>
        <v>0.45638573116163339</v>
      </c>
      <c r="T26">
        <v>50</v>
      </c>
      <c r="U26">
        <v>50</v>
      </c>
      <c r="V26">
        <v>283</v>
      </c>
      <c r="W26" s="23">
        <f t="shared" si="10"/>
        <v>0.61194692165647946</v>
      </c>
      <c r="AF26">
        <f t="shared" si="11"/>
        <v>998.58177140143846</v>
      </c>
      <c r="AG26">
        <f t="shared" si="12"/>
        <v>0.53492758216064551</v>
      </c>
      <c r="AH26">
        <f t="shared" si="13"/>
        <v>0</v>
      </c>
      <c r="AI26">
        <f t="shared" si="14"/>
        <v>1</v>
      </c>
      <c r="AJ26">
        <f t="shared" si="15"/>
        <v>0</v>
      </c>
      <c r="AK26">
        <f t="shared" si="16"/>
        <v>1</v>
      </c>
      <c r="AL26">
        <f t="shared" si="17"/>
        <v>0.91280421926408528</v>
      </c>
      <c r="AM26">
        <f t="shared" si="18"/>
        <v>0</v>
      </c>
    </row>
    <row r="27" spans="1:39">
      <c r="A27">
        <v>18</v>
      </c>
      <c r="B27">
        <v>133</v>
      </c>
      <c r="C27">
        <v>4.5</v>
      </c>
      <c r="D27">
        <v>325</v>
      </c>
      <c r="E27">
        <v>200</v>
      </c>
      <c r="F27">
        <v>33.799999999999997</v>
      </c>
      <c r="G27" s="20">
        <f t="shared" si="0"/>
        <v>33.789017623861994</v>
      </c>
      <c r="H27">
        <v>1670</v>
      </c>
      <c r="I27" s="23">
        <f t="shared" si="1"/>
        <v>12.556390977443609</v>
      </c>
      <c r="J27" s="22">
        <f t="shared" si="2"/>
        <v>0.53571716430969651</v>
      </c>
      <c r="K27" s="20">
        <f t="shared" si="3"/>
        <v>29.555555555555557</v>
      </c>
      <c r="L27" s="23">
        <f t="shared" si="4"/>
        <v>0.45416338324139743</v>
      </c>
      <c r="M27">
        <v>412</v>
      </c>
      <c r="O27">
        <f t="shared" si="5"/>
        <v>937</v>
      </c>
      <c r="P27">
        <f t="shared" si="6"/>
        <v>1202</v>
      </c>
      <c r="Q27" s="21">
        <f t="shared" si="7"/>
        <v>998.58177140143846</v>
      </c>
      <c r="R27" s="21">
        <f t="shared" si="8"/>
        <v>911.50965421543731</v>
      </c>
      <c r="S27" s="23">
        <f t="shared" si="9"/>
        <v>0.45199740682354078</v>
      </c>
      <c r="T27">
        <v>50</v>
      </c>
      <c r="U27">
        <v>50</v>
      </c>
      <c r="V27">
        <v>389</v>
      </c>
      <c r="W27" s="23">
        <f t="shared" si="10"/>
        <v>0.61194692165647946</v>
      </c>
      <c r="AF27">
        <f t="shared" si="11"/>
        <v>998.58177140143846</v>
      </c>
      <c r="AG27">
        <f t="shared" si="12"/>
        <v>0.53492758216064551</v>
      </c>
      <c r="AH27">
        <f t="shared" si="13"/>
        <v>0</v>
      </c>
      <c r="AI27">
        <f t="shared" si="14"/>
        <v>1</v>
      </c>
      <c r="AJ27">
        <f t="shared" si="15"/>
        <v>0</v>
      </c>
      <c r="AK27">
        <f t="shared" si="16"/>
        <v>1</v>
      </c>
      <c r="AL27">
        <f t="shared" si="17"/>
        <v>0.91280421926408528</v>
      </c>
      <c r="AM27">
        <f t="shared" si="18"/>
        <v>0</v>
      </c>
    </row>
    <row r="28" spans="1:39">
      <c r="A28">
        <v>19</v>
      </c>
      <c r="B28">
        <v>133</v>
      </c>
      <c r="C28">
        <v>4.5</v>
      </c>
      <c r="D28">
        <v>325</v>
      </c>
      <c r="E28">
        <v>200</v>
      </c>
      <c r="F28">
        <v>33.799999999999997</v>
      </c>
      <c r="G28" s="20">
        <f t="shared" si="0"/>
        <v>33.789017623861994</v>
      </c>
      <c r="H28">
        <v>1670</v>
      </c>
      <c r="I28" s="23">
        <f t="shared" si="1"/>
        <v>12.556390977443609</v>
      </c>
      <c r="J28" s="22">
        <f t="shared" si="2"/>
        <v>0.53571716430969651</v>
      </c>
      <c r="K28" s="20">
        <f t="shared" si="3"/>
        <v>29.555555555555557</v>
      </c>
      <c r="L28" s="23">
        <f t="shared" si="4"/>
        <v>0.45416338324139743</v>
      </c>
      <c r="M28">
        <v>347</v>
      </c>
      <c r="O28">
        <f t="shared" si="5"/>
        <v>937</v>
      </c>
      <c r="P28">
        <f t="shared" si="6"/>
        <v>1202</v>
      </c>
      <c r="Q28" s="21">
        <f t="shared" si="7"/>
        <v>998.58177140143846</v>
      </c>
      <c r="R28" s="21">
        <f t="shared" si="8"/>
        <v>911.50965421543731</v>
      </c>
      <c r="S28" s="23">
        <f t="shared" si="9"/>
        <v>0.38068713632953555</v>
      </c>
      <c r="T28">
        <v>60</v>
      </c>
      <c r="U28">
        <v>60</v>
      </c>
      <c r="V28">
        <v>153</v>
      </c>
      <c r="W28" s="23">
        <f t="shared" si="10"/>
        <v>0.61194692165647946</v>
      </c>
      <c r="AF28">
        <f t="shared" si="11"/>
        <v>998.58177140143846</v>
      </c>
      <c r="AG28">
        <f t="shared" si="12"/>
        <v>0.53492758216064551</v>
      </c>
      <c r="AH28">
        <f t="shared" si="13"/>
        <v>0</v>
      </c>
      <c r="AI28">
        <f t="shared" si="14"/>
        <v>1</v>
      </c>
      <c r="AJ28">
        <f t="shared" si="15"/>
        <v>0</v>
      </c>
      <c r="AK28">
        <f t="shared" si="16"/>
        <v>1</v>
      </c>
      <c r="AL28">
        <f t="shared" si="17"/>
        <v>0.91280421926408528</v>
      </c>
      <c r="AM28">
        <f t="shared" si="18"/>
        <v>0</v>
      </c>
    </row>
    <row r="29" spans="1:39">
      <c r="A29">
        <v>20</v>
      </c>
      <c r="B29">
        <v>133</v>
      </c>
      <c r="C29">
        <v>4.5</v>
      </c>
      <c r="D29">
        <v>325</v>
      </c>
      <c r="E29">
        <v>200</v>
      </c>
      <c r="F29">
        <v>33.799999999999997</v>
      </c>
      <c r="G29" s="20">
        <f t="shared" si="0"/>
        <v>33.789017623861994</v>
      </c>
      <c r="H29">
        <v>1670</v>
      </c>
      <c r="I29" s="23">
        <f t="shared" si="1"/>
        <v>12.556390977443609</v>
      </c>
      <c r="J29" s="22">
        <f t="shared" si="2"/>
        <v>0.53571716430969651</v>
      </c>
      <c r="K29" s="20">
        <f t="shared" si="3"/>
        <v>29.555555555555557</v>
      </c>
      <c r="L29" s="23">
        <f t="shared" si="4"/>
        <v>0.45416338324139743</v>
      </c>
      <c r="M29">
        <v>335</v>
      </c>
      <c r="O29">
        <f t="shared" si="5"/>
        <v>937</v>
      </c>
      <c r="P29">
        <f t="shared" si="6"/>
        <v>1202</v>
      </c>
      <c r="Q29" s="21">
        <f t="shared" si="7"/>
        <v>998.58177140143846</v>
      </c>
      <c r="R29" s="21">
        <f t="shared" si="8"/>
        <v>911.50965421543731</v>
      </c>
      <c r="S29" s="23">
        <f t="shared" si="9"/>
        <v>0.36752216331525767</v>
      </c>
      <c r="T29">
        <v>60</v>
      </c>
      <c r="U29">
        <v>60</v>
      </c>
      <c r="V29">
        <v>283</v>
      </c>
      <c r="W29" s="23">
        <f t="shared" si="10"/>
        <v>0.61194692165647946</v>
      </c>
      <c r="AF29">
        <f t="shared" si="11"/>
        <v>998.58177140143846</v>
      </c>
      <c r="AG29">
        <f t="shared" si="12"/>
        <v>0.53492758216064551</v>
      </c>
      <c r="AH29">
        <f t="shared" si="13"/>
        <v>0</v>
      </c>
      <c r="AI29">
        <f t="shared" si="14"/>
        <v>1</v>
      </c>
      <c r="AJ29">
        <f t="shared" si="15"/>
        <v>0</v>
      </c>
      <c r="AK29">
        <f t="shared" si="16"/>
        <v>1</v>
      </c>
      <c r="AL29">
        <f t="shared" si="17"/>
        <v>0.91280421926408528</v>
      </c>
      <c r="AM29">
        <f t="shared" si="18"/>
        <v>0</v>
      </c>
    </row>
    <row r="30" spans="1:39">
      <c r="A30">
        <v>21</v>
      </c>
      <c r="B30">
        <v>133</v>
      </c>
      <c r="C30">
        <v>4.5</v>
      </c>
      <c r="D30">
        <v>325</v>
      </c>
      <c r="E30">
        <v>200</v>
      </c>
      <c r="F30">
        <v>33.799999999999997</v>
      </c>
      <c r="G30" s="20">
        <f t="shared" si="0"/>
        <v>33.789017623861994</v>
      </c>
      <c r="H30">
        <v>2730</v>
      </c>
      <c r="I30" s="23">
        <f t="shared" si="1"/>
        <v>20.526315789473685</v>
      </c>
      <c r="J30" s="22">
        <f t="shared" si="2"/>
        <v>0.87575320872183926</v>
      </c>
      <c r="K30" s="20">
        <f t="shared" si="3"/>
        <v>29.555555555555557</v>
      </c>
      <c r="L30" s="23">
        <f t="shared" si="4"/>
        <v>0.45416338324139743</v>
      </c>
      <c r="M30">
        <v>293</v>
      </c>
      <c r="O30">
        <f t="shared" si="5"/>
        <v>937</v>
      </c>
      <c r="P30">
        <f t="shared" si="6"/>
        <v>1202</v>
      </c>
      <c r="Q30" s="21">
        <f t="shared" si="7"/>
        <v>998.58177140143846</v>
      </c>
      <c r="R30" s="21">
        <f t="shared" si="8"/>
        <v>748.62955523147548</v>
      </c>
      <c r="S30" s="23">
        <f t="shared" si="9"/>
        <v>0.3913818228955771</v>
      </c>
      <c r="T30">
        <v>66</v>
      </c>
      <c r="U30">
        <v>66</v>
      </c>
      <c r="V30">
        <v>177</v>
      </c>
      <c r="W30" s="23">
        <f t="shared" si="10"/>
        <v>0.61194692165647946</v>
      </c>
      <c r="AF30">
        <f t="shared" si="11"/>
        <v>998.58177140143846</v>
      </c>
      <c r="AG30">
        <f t="shared" si="12"/>
        <v>0.87446245466979777</v>
      </c>
      <c r="AH30">
        <f t="shared" si="13"/>
        <v>0</v>
      </c>
      <c r="AI30">
        <f t="shared" si="14"/>
        <v>1</v>
      </c>
      <c r="AJ30">
        <f t="shared" si="15"/>
        <v>0</v>
      </c>
      <c r="AK30">
        <f t="shared" si="16"/>
        <v>1</v>
      </c>
      <c r="AL30">
        <f t="shared" si="17"/>
        <v>0.74969279098778974</v>
      </c>
      <c r="AM30">
        <f t="shared" si="18"/>
        <v>1.7220825272699187</v>
      </c>
    </row>
    <row r="31" spans="1:39">
      <c r="A31">
        <v>22</v>
      </c>
      <c r="B31">
        <v>133</v>
      </c>
      <c r="C31">
        <v>4.5</v>
      </c>
      <c r="D31">
        <v>325</v>
      </c>
      <c r="E31">
        <v>200</v>
      </c>
      <c r="F31">
        <v>33.799999999999997</v>
      </c>
      <c r="G31" s="20">
        <f t="shared" si="0"/>
        <v>33.789017623861994</v>
      </c>
      <c r="H31">
        <v>2730</v>
      </c>
      <c r="I31" s="23">
        <f t="shared" si="1"/>
        <v>20.526315789473685</v>
      </c>
      <c r="J31" s="22">
        <f t="shared" si="2"/>
        <v>0.87575320872183926</v>
      </c>
      <c r="K31" s="20">
        <f t="shared" si="3"/>
        <v>29.555555555555557</v>
      </c>
      <c r="L31" s="23">
        <f t="shared" si="4"/>
        <v>0.45416338324139743</v>
      </c>
      <c r="M31">
        <v>282</v>
      </c>
      <c r="O31">
        <f t="shared" si="5"/>
        <v>937</v>
      </c>
      <c r="P31">
        <f t="shared" si="6"/>
        <v>1202</v>
      </c>
      <c r="Q31" s="21">
        <f t="shared" si="7"/>
        <v>998.58177140143846</v>
      </c>
      <c r="R31" s="21">
        <f t="shared" si="8"/>
        <v>748.62955523147548</v>
      </c>
      <c r="S31" s="23">
        <f t="shared" si="9"/>
        <v>0.37668830736024828</v>
      </c>
      <c r="T31">
        <v>66</v>
      </c>
      <c r="U31">
        <v>66</v>
      </c>
      <c r="V31">
        <v>325</v>
      </c>
      <c r="W31" s="23">
        <f t="shared" si="10"/>
        <v>0.61194692165647946</v>
      </c>
      <c r="AF31">
        <f t="shared" si="11"/>
        <v>998.58177140143846</v>
      </c>
      <c r="AG31">
        <f t="shared" si="12"/>
        <v>0.87446245466979777</v>
      </c>
      <c r="AH31">
        <f t="shared" si="13"/>
        <v>0</v>
      </c>
      <c r="AI31">
        <f t="shared" si="14"/>
        <v>1</v>
      </c>
      <c r="AJ31">
        <f t="shared" si="15"/>
        <v>0</v>
      </c>
      <c r="AK31">
        <f t="shared" si="16"/>
        <v>1</v>
      </c>
      <c r="AL31">
        <f t="shared" si="17"/>
        <v>0.74969279098778974</v>
      </c>
      <c r="AM31">
        <f t="shared" si="18"/>
        <v>1.7220825272699187</v>
      </c>
    </row>
    <row r="32" spans="1:39">
      <c r="A32">
        <v>23</v>
      </c>
      <c r="B32">
        <v>133</v>
      </c>
      <c r="C32">
        <v>4.5</v>
      </c>
      <c r="D32">
        <v>325</v>
      </c>
      <c r="E32">
        <v>200</v>
      </c>
      <c r="F32">
        <v>33.799999999999997</v>
      </c>
      <c r="G32" s="20">
        <f t="shared" si="0"/>
        <v>33.789017623861994</v>
      </c>
      <c r="H32">
        <v>2730</v>
      </c>
      <c r="I32" s="23">
        <f t="shared" si="1"/>
        <v>20.526315789473685</v>
      </c>
      <c r="J32" s="22">
        <f t="shared" si="2"/>
        <v>0.87575320872183926</v>
      </c>
      <c r="K32" s="20">
        <f t="shared" si="3"/>
        <v>29.555555555555557</v>
      </c>
      <c r="L32" s="23">
        <f t="shared" si="4"/>
        <v>0.45416338324139743</v>
      </c>
      <c r="M32">
        <v>268</v>
      </c>
      <c r="O32">
        <f t="shared" si="5"/>
        <v>937</v>
      </c>
      <c r="P32">
        <f t="shared" si="6"/>
        <v>1202</v>
      </c>
      <c r="Q32" s="21">
        <f t="shared" si="7"/>
        <v>998.58177140143846</v>
      </c>
      <c r="R32" s="21">
        <f t="shared" si="8"/>
        <v>748.62955523147548</v>
      </c>
      <c r="S32" s="23">
        <f t="shared" si="9"/>
        <v>0.35798746940619341</v>
      </c>
      <c r="T32">
        <v>66</v>
      </c>
      <c r="U32">
        <v>66</v>
      </c>
      <c r="V32">
        <v>466</v>
      </c>
      <c r="W32" s="23">
        <f t="shared" si="10"/>
        <v>0.61194692165647946</v>
      </c>
      <c r="AF32">
        <f t="shared" si="11"/>
        <v>998.58177140143846</v>
      </c>
      <c r="AG32">
        <f t="shared" si="12"/>
        <v>0.87446245466979777</v>
      </c>
      <c r="AH32">
        <f t="shared" si="13"/>
        <v>0</v>
      </c>
      <c r="AI32">
        <f t="shared" si="14"/>
        <v>1</v>
      </c>
      <c r="AJ32">
        <f t="shared" si="15"/>
        <v>0</v>
      </c>
      <c r="AK32">
        <f t="shared" si="16"/>
        <v>1</v>
      </c>
      <c r="AL32">
        <f t="shared" si="17"/>
        <v>0.74969279098778974</v>
      </c>
      <c r="AM32">
        <f t="shared" si="18"/>
        <v>1.7220825272699187</v>
      </c>
    </row>
    <row r="34" spans="11:13">
      <c r="K34" t="s">
        <v>100</v>
      </c>
      <c r="L34" s="21">
        <f>COUNTIF(L10:L32,"&gt;1")</f>
        <v>0</v>
      </c>
      <c r="M34" s="8" t="s">
        <v>101</v>
      </c>
    </row>
  </sheetData>
  <mergeCells count="5">
    <mergeCell ref="H4:I4"/>
    <mergeCell ref="R3:S3"/>
    <mergeCell ref="A1:E1"/>
    <mergeCell ref="A2:E2"/>
    <mergeCell ref="F2:J2"/>
  </mergeCells>
  <phoneticPr fontId="0" type="noConversion"/>
  <pageMargins left="0.75" right="0.75" top="1" bottom="1" header="0.5" footer="0.5"/>
  <pageSetup paperSize="9" orientation="landscape" horizontalDpi="300" verticalDpi="0" copies="0" r:id="rId1"/>
  <headerFooter alignWithMargins="0"/>
  <colBreaks count="1" manualBreakCount="1">
    <brk id="14" max="1048575" man="1"/>
  </colBreaks>
  <webPublishItems count="1">
    <webPublishItem id="31148" divId="i) Circ with M&amp;Preload_31148" sourceType="sheet" destinationFile="C:\My Documents\ASCCS\Web\Fpdb\i d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9"/>
  <sheetViews>
    <sheetView workbookViewId="0" xr3:uid="{958C4451-9541-5A59-BF78-D2F731DF1C81}">
      <pane xSplit="1" ySplit="9" topLeftCell="M32" activePane="bottomRight" state="frozen"/>
      <selection pane="bottomRight" activeCell="A3" sqref="A3"/>
      <selection pane="bottomLeft" activeCell="A10" sqref="A10"/>
      <selection pane="topRight" activeCell="B1" sqref="B1"/>
    </sheetView>
  </sheetViews>
  <sheetFormatPr defaultRowHeight="12.75"/>
  <cols>
    <col min="1" max="1" width="14.7109375" customWidth="1"/>
    <col min="2" max="19" width="7.7109375" customWidth="1"/>
  </cols>
  <sheetData>
    <row r="1" spans="1:27">
      <c r="A1" s="42" t="s">
        <v>102</v>
      </c>
      <c r="B1" s="42"/>
      <c r="C1" s="42"/>
      <c r="D1" s="42"/>
      <c r="E1" s="42"/>
      <c r="F1" s="2"/>
      <c r="G1" s="3"/>
      <c r="H1" s="4"/>
      <c r="K1" s="4"/>
      <c r="L1" s="4"/>
      <c r="M1" s="4"/>
      <c r="N1" s="4"/>
    </row>
    <row r="2" spans="1:27">
      <c r="A2" s="42" t="s">
        <v>2</v>
      </c>
      <c r="B2" s="42"/>
      <c r="C2" s="42"/>
      <c r="D2" s="42"/>
      <c r="E2" s="42"/>
      <c r="F2" s="43" t="s">
        <v>3</v>
      </c>
      <c r="G2" s="43"/>
      <c r="H2" s="43"/>
      <c r="I2" s="43"/>
      <c r="J2" s="43"/>
      <c r="K2" s="4"/>
      <c r="L2" s="4"/>
      <c r="M2" s="4"/>
      <c r="N2" s="4"/>
      <c r="U2" s="4"/>
      <c r="V2" s="4"/>
      <c r="X2" s="4"/>
      <c r="Y2" s="6"/>
      <c r="Z2" s="7"/>
      <c r="AA2" s="7"/>
    </row>
    <row r="4" spans="1:27">
      <c r="A4" s="37" t="s">
        <v>103</v>
      </c>
    </row>
    <row r="5" spans="1:27">
      <c r="B5" t="s">
        <v>5</v>
      </c>
      <c r="C5" t="s">
        <v>6</v>
      </c>
      <c r="D5" t="s">
        <v>7</v>
      </c>
      <c r="E5" t="s">
        <v>8</v>
      </c>
      <c r="F5" s="31" t="s">
        <v>9</v>
      </c>
      <c r="G5" t="s">
        <v>10</v>
      </c>
      <c r="H5" s="44" t="s">
        <v>11</v>
      </c>
      <c r="I5" s="44"/>
      <c r="J5" s="44"/>
      <c r="Q5" s="41" t="s">
        <v>104</v>
      </c>
      <c r="R5" s="41"/>
      <c r="S5" s="41"/>
    </row>
    <row r="6" spans="1:27">
      <c r="C6" t="s">
        <v>12</v>
      </c>
      <c r="D6" t="s">
        <v>13</v>
      </c>
      <c r="E6" t="s">
        <v>14</v>
      </c>
      <c r="F6" t="s">
        <v>15</v>
      </c>
      <c r="G6" t="s">
        <v>16</v>
      </c>
      <c r="Q6" s="41" t="s">
        <v>105</v>
      </c>
      <c r="R6" s="41"/>
      <c r="S6" s="8"/>
    </row>
    <row r="7" spans="1:27" s="18" customFormat="1">
      <c r="M7" s="18" t="s">
        <v>33</v>
      </c>
      <c r="O7" s="18" t="s">
        <v>38</v>
      </c>
      <c r="Q7" s="41" t="s">
        <v>106</v>
      </c>
      <c r="R7" s="41"/>
      <c r="S7" s="37"/>
    </row>
    <row r="8" spans="1:27" s="18" customFormat="1">
      <c r="A8" s="37" t="s">
        <v>40</v>
      </c>
      <c r="B8" s="18" t="s">
        <v>41</v>
      </c>
      <c r="C8" s="18" t="s">
        <v>42</v>
      </c>
      <c r="D8" s="18" t="s">
        <v>43</v>
      </c>
      <c r="E8" s="18" t="s">
        <v>44</v>
      </c>
      <c r="F8" s="18" t="s">
        <v>45</v>
      </c>
      <c r="G8" s="18" t="s">
        <v>46</v>
      </c>
      <c r="H8" s="18" t="s">
        <v>47</v>
      </c>
      <c r="I8" s="18" t="s">
        <v>58</v>
      </c>
      <c r="J8" s="18" t="s">
        <v>59</v>
      </c>
      <c r="K8" s="18" t="s">
        <v>48</v>
      </c>
      <c r="L8" s="18" t="s">
        <v>49</v>
      </c>
      <c r="M8" s="37" t="s">
        <v>52</v>
      </c>
      <c r="N8" s="37" t="s">
        <v>107</v>
      </c>
      <c r="O8" s="18" t="s">
        <v>108</v>
      </c>
      <c r="Q8" s="37" t="s">
        <v>109</v>
      </c>
      <c r="R8" s="37" t="s">
        <v>110</v>
      </c>
      <c r="S8" s="27" t="s">
        <v>111</v>
      </c>
    </row>
    <row r="9" spans="1:27" s="18" customFormat="1">
      <c r="B9" s="18" t="s">
        <v>71</v>
      </c>
      <c r="C9" s="18" t="s">
        <v>71</v>
      </c>
      <c r="D9" s="18" t="s">
        <v>72</v>
      </c>
      <c r="E9" s="18" t="s">
        <v>73</v>
      </c>
      <c r="F9" s="18" t="s">
        <v>72</v>
      </c>
      <c r="G9" s="18" t="s">
        <v>73</v>
      </c>
      <c r="H9" s="18" t="s">
        <v>71</v>
      </c>
      <c r="I9" s="18" t="s">
        <v>71</v>
      </c>
      <c r="J9" s="18" t="s">
        <v>71</v>
      </c>
      <c r="L9" s="18" t="s">
        <v>74</v>
      </c>
      <c r="M9" s="37" t="s">
        <v>76</v>
      </c>
      <c r="N9" s="37" t="s">
        <v>112</v>
      </c>
      <c r="O9" s="37" t="s">
        <v>81</v>
      </c>
      <c r="Q9" s="37" t="s">
        <v>81</v>
      </c>
      <c r="R9" s="37" t="s">
        <v>112</v>
      </c>
      <c r="S9" s="37" t="s">
        <v>113</v>
      </c>
    </row>
    <row r="10" spans="1:27">
      <c r="A10" s="38" t="s">
        <v>94</v>
      </c>
      <c r="B10" s="38">
        <v>1996</v>
      </c>
      <c r="C10" s="17" t="s">
        <v>95</v>
      </c>
      <c r="D10" s="36" t="s">
        <v>114</v>
      </c>
      <c r="E10" s="38" t="s">
        <v>97</v>
      </c>
      <c r="F10" s="37" t="s">
        <v>97</v>
      </c>
      <c r="G10" s="37" t="s">
        <v>97</v>
      </c>
    </row>
    <row r="11" spans="1:27">
      <c r="A11">
        <v>1</v>
      </c>
      <c r="B11">
        <v>133</v>
      </c>
      <c r="C11">
        <v>4.5</v>
      </c>
      <c r="D11">
        <v>325</v>
      </c>
      <c r="E11">
        <v>200</v>
      </c>
      <c r="F11">
        <v>33.799999999999997</v>
      </c>
      <c r="G11" s="20">
        <f>Data!G10</f>
        <v>33.789017623861994</v>
      </c>
      <c r="H11">
        <v>1862</v>
      </c>
      <c r="I11">
        <v>0</v>
      </c>
      <c r="J11">
        <v>0</v>
      </c>
      <c r="K11" s="23">
        <v>14</v>
      </c>
      <c r="L11" s="22">
        <f>Data!J10</f>
        <v>0.59730859876925446</v>
      </c>
      <c r="M11">
        <v>882</v>
      </c>
      <c r="N11">
        <f>M11*I11/1000</f>
        <v>0</v>
      </c>
      <c r="O11">
        <f>Data!V10</f>
        <v>189</v>
      </c>
      <c r="Q11">
        <v>889</v>
      </c>
      <c r="R11">
        <v>0</v>
      </c>
      <c r="S11" s="28">
        <f>M11/Q11</f>
        <v>0.99212598425196852</v>
      </c>
    </row>
    <row r="12" spans="1:27">
      <c r="A12">
        <v>2</v>
      </c>
      <c r="B12">
        <v>133</v>
      </c>
      <c r="C12">
        <v>4.5</v>
      </c>
      <c r="D12">
        <v>325</v>
      </c>
      <c r="E12">
        <v>200</v>
      </c>
      <c r="F12">
        <v>33.799999999999997</v>
      </c>
      <c r="G12" s="20">
        <f>Data!G11</f>
        <v>33.789017623861994</v>
      </c>
      <c r="H12">
        <v>1862</v>
      </c>
      <c r="I12">
        <v>0</v>
      </c>
      <c r="J12">
        <v>0</v>
      </c>
      <c r="K12" s="23">
        <v>14</v>
      </c>
      <c r="L12" s="22">
        <f>Data!J11</f>
        <v>0.59730859876925446</v>
      </c>
      <c r="M12">
        <v>715</v>
      </c>
      <c r="N12">
        <f t="shared" ref="N12:N33" si="0">M12*I12/1000</f>
        <v>0</v>
      </c>
      <c r="O12">
        <f>Data!V11</f>
        <v>271</v>
      </c>
      <c r="Q12">
        <v>889</v>
      </c>
      <c r="R12">
        <v>0</v>
      </c>
      <c r="S12" s="28">
        <f t="shared" ref="S12:S33" si="1">M12/Q12</f>
        <v>0.80427446569178851</v>
      </c>
    </row>
    <row r="13" spans="1:27">
      <c r="A13">
        <v>3</v>
      </c>
      <c r="B13">
        <v>133</v>
      </c>
      <c r="C13">
        <v>4.5</v>
      </c>
      <c r="D13">
        <v>325</v>
      </c>
      <c r="E13">
        <v>200</v>
      </c>
      <c r="F13">
        <v>33.799999999999997</v>
      </c>
      <c r="G13" s="20">
        <f>Data!G12</f>
        <v>33.789017623861994</v>
      </c>
      <c r="H13">
        <v>2793</v>
      </c>
      <c r="I13">
        <v>0</v>
      </c>
      <c r="J13">
        <v>0</v>
      </c>
      <c r="K13" s="23">
        <v>21</v>
      </c>
      <c r="L13" s="22">
        <f>Data!J12</f>
        <v>0.89596289815388175</v>
      </c>
      <c r="M13">
        <v>784</v>
      </c>
      <c r="N13">
        <f t="shared" si="0"/>
        <v>0</v>
      </c>
      <c r="O13">
        <f>Data!V12</f>
        <v>201</v>
      </c>
      <c r="Q13">
        <v>734</v>
      </c>
      <c r="R13">
        <v>0</v>
      </c>
      <c r="S13" s="28">
        <f t="shared" si="1"/>
        <v>1.0681198910081744</v>
      </c>
    </row>
    <row r="14" spans="1:27">
      <c r="A14">
        <v>4</v>
      </c>
      <c r="B14">
        <v>133</v>
      </c>
      <c r="C14">
        <v>4.5</v>
      </c>
      <c r="D14">
        <v>325</v>
      </c>
      <c r="E14">
        <v>200</v>
      </c>
      <c r="F14">
        <v>33.799999999999997</v>
      </c>
      <c r="G14" s="20">
        <f>Data!G13</f>
        <v>33.789017623861994</v>
      </c>
      <c r="H14">
        <v>2793</v>
      </c>
      <c r="I14">
        <v>0</v>
      </c>
      <c r="J14">
        <v>0</v>
      </c>
      <c r="K14" s="23">
        <v>21</v>
      </c>
      <c r="L14" s="22">
        <f>Data!J13</f>
        <v>0.89596289815388175</v>
      </c>
      <c r="M14">
        <v>800</v>
      </c>
      <c r="N14">
        <f t="shared" si="0"/>
        <v>0</v>
      </c>
      <c r="O14">
        <f>Data!V13</f>
        <v>319</v>
      </c>
      <c r="Q14">
        <v>734</v>
      </c>
      <c r="R14">
        <v>0</v>
      </c>
      <c r="S14" s="28">
        <f t="shared" si="1"/>
        <v>1.0899182561307903</v>
      </c>
    </row>
    <row r="15" spans="1:27">
      <c r="A15">
        <v>5</v>
      </c>
      <c r="B15">
        <v>133</v>
      </c>
      <c r="C15">
        <v>4.5</v>
      </c>
      <c r="D15">
        <v>325</v>
      </c>
      <c r="E15">
        <v>200</v>
      </c>
      <c r="F15">
        <v>33.799999999999997</v>
      </c>
      <c r="G15" s="20">
        <f>Data!G14</f>
        <v>33.789017623861994</v>
      </c>
      <c r="H15">
        <v>465</v>
      </c>
      <c r="I15">
        <v>50</v>
      </c>
      <c r="J15">
        <v>50</v>
      </c>
      <c r="K15" s="23">
        <v>3.4962406015037595</v>
      </c>
      <c r="L15" s="22">
        <f>Data!J14</f>
        <v>0.14916675533174187</v>
      </c>
      <c r="M15">
        <v>591</v>
      </c>
      <c r="N15">
        <f t="shared" si="0"/>
        <v>29.55</v>
      </c>
      <c r="O15">
        <f>Data!V14</f>
        <v>124</v>
      </c>
      <c r="Q15">
        <v>467</v>
      </c>
      <c r="R15">
        <v>23.4</v>
      </c>
      <c r="S15" s="28">
        <f t="shared" si="1"/>
        <v>1.265524625267666</v>
      </c>
    </row>
    <row r="16" spans="1:27">
      <c r="A16">
        <v>6</v>
      </c>
      <c r="B16">
        <v>133</v>
      </c>
      <c r="C16">
        <v>4.5</v>
      </c>
      <c r="D16">
        <v>325</v>
      </c>
      <c r="E16">
        <v>200</v>
      </c>
      <c r="F16">
        <v>33.799999999999997</v>
      </c>
      <c r="G16" s="20">
        <f>Data!G15</f>
        <v>33.789017623861994</v>
      </c>
      <c r="H16">
        <v>465</v>
      </c>
      <c r="I16">
        <v>50</v>
      </c>
      <c r="J16">
        <v>50</v>
      </c>
      <c r="K16" s="23">
        <v>3.4962406015037595</v>
      </c>
      <c r="L16" s="22">
        <f>Data!J15</f>
        <v>0.14916675533174187</v>
      </c>
      <c r="M16">
        <v>576</v>
      </c>
      <c r="N16">
        <f t="shared" si="0"/>
        <v>28.8</v>
      </c>
      <c r="O16">
        <f>Data!V15</f>
        <v>177</v>
      </c>
      <c r="Q16">
        <v>467</v>
      </c>
      <c r="R16">
        <v>23.4</v>
      </c>
      <c r="S16" s="28">
        <f t="shared" si="1"/>
        <v>1.2334047109207709</v>
      </c>
    </row>
    <row r="17" spans="1:19">
      <c r="A17">
        <v>7</v>
      </c>
      <c r="B17">
        <v>133</v>
      </c>
      <c r="C17">
        <v>4.5</v>
      </c>
      <c r="D17">
        <v>325</v>
      </c>
      <c r="E17">
        <v>200</v>
      </c>
      <c r="F17">
        <v>33.799999999999997</v>
      </c>
      <c r="G17" s="20">
        <f>Data!G16</f>
        <v>33.789017623861994</v>
      </c>
      <c r="H17">
        <v>465</v>
      </c>
      <c r="I17">
        <v>50</v>
      </c>
      <c r="J17">
        <v>50</v>
      </c>
      <c r="K17" s="23">
        <v>3.4962406015037595</v>
      </c>
      <c r="L17" s="22">
        <f>Data!J16</f>
        <v>0.14916675533174187</v>
      </c>
      <c r="M17">
        <v>582</v>
      </c>
      <c r="N17">
        <f t="shared" si="0"/>
        <v>29.1</v>
      </c>
      <c r="O17">
        <f>Data!V16</f>
        <v>236</v>
      </c>
      <c r="Q17">
        <v>467</v>
      </c>
      <c r="R17">
        <v>23.4</v>
      </c>
      <c r="S17" s="28">
        <f t="shared" si="1"/>
        <v>1.246252676659529</v>
      </c>
    </row>
    <row r="18" spans="1:19">
      <c r="A18">
        <v>8</v>
      </c>
      <c r="B18">
        <v>133</v>
      </c>
      <c r="C18">
        <v>4.5</v>
      </c>
      <c r="D18">
        <v>325</v>
      </c>
      <c r="E18">
        <v>200</v>
      </c>
      <c r="F18">
        <v>33.799999999999997</v>
      </c>
      <c r="G18" s="20">
        <f>Data!G17</f>
        <v>33.789017623861994</v>
      </c>
      <c r="H18">
        <v>465</v>
      </c>
      <c r="I18">
        <v>50</v>
      </c>
      <c r="J18">
        <v>50</v>
      </c>
      <c r="K18" s="23">
        <v>3.4962406015037595</v>
      </c>
      <c r="L18" s="22">
        <f>Data!J17</f>
        <v>0.14916675533174187</v>
      </c>
      <c r="M18">
        <v>576</v>
      </c>
      <c r="N18">
        <f t="shared" si="0"/>
        <v>28.8</v>
      </c>
      <c r="O18">
        <f>Data!V17</f>
        <v>260</v>
      </c>
      <c r="Q18">
        <v>467</v>
      </c>
      <c r="R18">
        <v>23.4</v>
      </c>
      <c r="S18" s="28">
        <f t="shared" si="1"/>
        <v>1.2334047109207709</v>
      </c>
    </row>
    <row r="19" spans="1:19">
      <c r="A19">
        <v>9</v>
      </c>
      <c r="B19">
        <v>133</v>
      </c>
      <c r="C19">
        <v>4.5</v>
      </c>
      <c r="D19">
        <v>325</v>
      </c>
      <c r="E19">
        <v>200</v>
      </c>
      <c r="F19">
        <v>33.799999999999997</v>
      </c>
      <c r="G19" s="20">
        <f>Data!G18</f>
        <v>33.789017623861994</v>
      </c>
      <c r="H19">
        <v>465</v>
      </c>
      <c r="I19">
        <v>50</v>
      </c>
      <c r="J19">
        <v>50</v>
      </c>
      <c r="K19" s="23">
        <v>3.4962406015037595</v>
      </c>
      <c r="L19" s="22">
        <f>Data!J18</f>
        <v>0.14916675533174187</v>
      </c>
      <c r="M19">
        <v>568</v>
      </c>
      <c r="N19">
        <f t="shared" si="0"/>
        <v>28.4</v>
      </c>
      <c r="O19">
        <f>Data!V18</f>
        <v>289</v>
      </c>
      <c r="Q19">
        <v>467</v>
      </c>
      <c r="R19">
        <v>23.4</v>
      </c>
      <c r="S19" s="28">
        <f t="shared" si="1"/>
        <v>1.2162740899357602</v>
      </c>
    </row>
    <row r="20" spans="1:19">
      <c r="A20">
        <v>10</v>
      </c>
      <c r="B20">
        <v>133</v>
      </c>
      <c r="C20">
        <v>4.5</v>
      </c>
      <c r="D20">
        <v>325</v>
      </c>
      <c r="E20">
        <v>200</v>
      </c>
      <c r="F20">
        <v>33.799999999999997</v>
      </c>
      <c r="G20" s="20">
        <f>Data!G19</f>
        <v>33.789017623861994</v>
      </c>
      <c r="H20">
        <v>465</v>
      </c>
      <c r="I20">
        <v>50</v>
      </c>
      <c r="J20">
        <v>50</v>
      </c>
      <c r="K20" s="23">
        <v>3.4962406015037595</v>
      </c>
      <c r="L20" s="22">
        <f>Data!J19</f>
        <v>0.14916675533174187</v>
      </c>
      <c r="M20">
        <v>559</v>
      </c>
      <c r="N20">
        <f t="shared" si="0"/>
        <v>27.95</v>
      </c>
      <c r="O20">
        <f>Data!V19</f>
        <v>360</v>
      </c>
      <c r="Q20">
        <v>467</v>
      </c>
      <c r="R20">
        <v>23.4</v>
      </c>
      <c r="S20" s="28">
        <f t="shared" si="1"/>
        <v>1.1970021413276231</v>
      </c>
    </row>
    <row r="21" spans="1:19">
      <c r="A21">
        <v>11</v>
      </c>
      <c r="B21">
        <v>133</v>
      </c>
      <c r="C21">
        <v>4.5</v>
      </c>
      <c r="D21">
        <v>325</v>
      </c>
      <c r="E21">
        <v>200</v>
      </c>
      <c r="F21">
        <v>33.799999999999997</v>
      </c>
      <c r="G21" s="20">
        <f>Data!G20</f>
        <v>33.789017623861994</v>
      </c>
      <c r="H21">
        <v>465</v>
      </c>
      <c r="I21">
        <v>60</v>
      </c>
      <c r="J21">
        <v>60</v>
      </c>
      <c r="K21" s="23">
        <v>3.4962406015037595</v>
      </c>
      <c r="L21" s="22">
        <f>Data!J20</f>
        <v>0.14916675533174187</v>
      </c>
      <c r="M21">
        <v>500</v>
      </c>
      <c r="N21">
        <f t="shared" si="0"/>
        <v>30</v>
      </c>
      <c r="O21">
        <f>Data!V20</f>
        <v>254</v>
      </c>
      <c r="Q21">
        <v>410</v>
      </c>
      <c r="R21">
        <v>24.6</v>
      </c>
      <c r="S21" s="28">
        <f t="shared" si="1"/>
        <v>1.2195121951219512</v>
      </c>
    </row>
    <row r="22" spans="1:19">
      <c r="A22">
        <v>12</v>
      </c>
      <c r="B22">
        <v>133</v>
      </c>
      <c r="C22">
        <v>4.5</v>
      </c>
      <c r="D22">
        <v>325</v>
      </c>
      <c r="E22">
        <v>200</v>
      </c>
      <c r="F22">
        <v>33.799999999999997</v>
      </c>
      <c r="G22" s="20">
        <f>Data!G21</f>
        <v>33.789017623861994</v>
      </c>
      <c r="H22">
        <v>465</v>
      </c>
      <c r="I22">
        <v>60</v>
      </c>
      <c r="J22">
        <v>60</v>
      </c>
      <c r="K22" s="23">
        <v>3.4962406015037595</v>
      </c>
      <c r="L22" s="22">
        <f>Data!J21</f>
        <v>0.14916675533174187</v>
      </c>
      <c r="M22">
        <v>492</v>
      </c>
      <c r="N22">
        <f t="shared" si="0"/>
        <v>29.52</v>
      </c>
      <c r="O22">
        <f>Data!V21</f>
        <v>342</v>
      </c>
      <c r="Q22">
        <v>410</v>
      </c>
      <c r="R22">
        <v>24.6</v>
      </c>
      <c r="S22" s="28">
        <f t="shared" si="1"/>
        <v>1.2</v>
      </c>
    </row>
    <row r="23" spans="1:19">
      <c r="A23">
        <v>13</v>
      </c>
      <c r="B23">
        <v>133</v>
      </c>
      <c r="C23">
        <v>2.9</v>
      </c>
      <c r="D23">
        <v>325</v>
      </c>
      <c r="E23">
        <v>200</v>
      </c>
      <c r="F23">
        <v>33.799999999999997</v>
      </c>
      <c r="G23" s="20">
        <f>Data!G22</f>
        <v>33.789017623861994</v>
      </c>
      <c r="H23">
        <v>465</v>
      </c>
      <c r="I23">
        <v>50</v>
      </c>
      <c r="J23">
        <v>50</v>
      </c>
      <c r="K23" s="23">
        <v>3.4962406015037595</v>
      </c>
      <c r="L23" s="22">
        <f>Data!J22</f>
        <v>0.15334124926746162</v>
      </c>
      <c r="M23">
        <v>476</v>
      </c>
      <c r="N23">
        <f t="shared" si="0"/>
        <v>23.8</v>
      </c>
      <c r="O23">
        <f>Data!V22</f>
        <v>162</v>
      </c>
      <c r="Q23">
        <v>365</v>
      </c>
      <c r="R23">
        <v>18.3</v>
      </c>
      <c r="S23" s="28">
        <f t="shared" si="1"/>
        <v>1.3041095890410959</v>
      </c>
    </row>
    <row r="24" spans="1:19">
      <c r="A24">
        <v>14</v>
      </c>
      <c r="B24">
        <v>133</v>
      </c>
      <c r="C24">
        <v>2.9</v>
      </c>
      <c r="D24">
        <v>325</v>
      </c>
      <c r="E24">
        <v>200</v>
      </c>
      <c r="F24">
        <v>33.799999999999997</v>
      </c>
      <c r="G24" s="20">
        <f>Data!G23</f>
        <v>33.789017623861994</v>
      </c>
      <c r="H24">
        <v>465</v>
      </c>
      <c r="I24">
        <v>50</v>
      </c>
      <c r="J24">
        <v>50</v>
      </c>
      <c r="K24" s="23">
        <v>3.4962406015037595</v>
      </c>
      <c r="L24" s="22">
        <f>Data!J23</f>
        <v>0.15334124926746162</v>
      </c>
      <c r="M24">
        <v>476</v>
      </c>
      <c r="N24">
        <f t="shared" si="0"/>
        <v>23.8</v>
      </c>
      <c r="O24">
        <f>Data!V23</f>
        <v>243</v>
      </c>
      <c r="Q24">
        <v>365</v>
      </c>
      <c r="R24">
        <v>18.3</v>
      </c>
      <c r="S24" s="28">
        <f t="shared" si="1"/>
        <v>1.3041095890410959</v>
      </c>
    </row>
    <row r="25" spans="1:19">
      <c r="A25">
        <v>15</v>
      </c>
      <c r="B25">
        <v>133</v>
      </c>
      <c r="C25">
        <v>2.9</v>
      </c>
      <c r="D25">
        <v>325</v>
      </c>
      <c r="E25">
        <v>200</v>
      </c>
      <c r="F25">
        <v>33.799999999999997</v>
      </c>
      <c r="G25" s="20">
        <f>Data!G24</f>
        <v>33.789017623861994</v>
      </c>
      <c r="H25">
        <v>465</v>
      </c>
      <c r="I25">
        <v>50</v>
      </c>
      <c r="J25">
        <v>50</v>
      </c>
      <c r="K25" s="23">
        <v>3.4962406015037595</v>
      </c>
      <c r="L25" s="22">
        <f>Data!J24</f>
        <v>0.15334124926746162</v>
      </c>
      <c r="M25">
        <v>466</v>
      </c>
      <c r="N25">
        <f t="shared" si="0"/>
        <v>23.3</v>
      </c>
      <c r="O25">
        <f>Data!V24</f>
        <v>320</v>
      </c>
      <c r="Q25">
        <v>365</v>
      </c>
      <c r="R25">
        <v>18.3</v>
      </c>
      <c r="S25" s="28">
        <f t="shared" si="1"/>
        <v>1.2767123287671234</v>
      </c>
    </row>
    <row r="26" spans="1:19">
      <c r="A26">
        <v>16</v>
      </c>
      <c r="B26">
        <v>133</v>
      </c>
      <c r="C26">
        <v>4.5</v>
      </c>
      <c r="D26">
        <v>325</v>
      </c>
      <c r="E26">
        <v>200</v>
      </c>
      <c r="F26">
        <v>33.799999999999997</v>
      </c>
      <c r="G26" s="20">
        <f>Data!G25</f>
        <v>33.789017623861994</v>
      </c>
      <c r="H26">
        <v>1670</v>
      </c>
      <c r="I26">
        <v>50</v>
      </c>
      <c r="J26">
        <v>50</v>
      </c>
      <c r="K26" s="23">
        <v>12.556390977443609</v>
      </c>
      <c r="L26" s="22">
        <f>Data!J25</f>
        <v>0.53571716430969651</v>
      </c>
      <c r="M26">
        <v>430</v>
      </c>
      <c r="N26">
        <f t="shared" si="0"/>
        <v>21.5</v>
      </c>
      <c r="O26">
        <f>Data!V25</f>
        <v>148</v>
      </c>
      <c r="Q26">
        <v>377</v>
      </c>
      <c r="R26">
        <v>18.8</v>
      </c>
      <c r="S26" s="28">
        <f t="shared" si="1"/>
        <v>1.1405835543766578</v>
      </c>
    </row>
    <row r="27" spans="1:19">
      <c r="A27">
        <v>17</v>
      </c>
      <c r="B27">
        <v>133</v>
      </c>
      <c r="C27">
        <v>4.5</v>
      </c>
      <c r="D27">
        <v>325</v>
      </c>
      <c r="E27">
        <v>200</v>
      </c>
      <c r="F27">
        <v>33.799999999999997</v>
      </c>
      <c r="G27" s="20">
        <f>Data!G26</f>
        <v>33.789017623861994</v>
      </c>
      <c r="H27">
        <v>1670</v>
      </c>
      <c r="I27">
        <v>50</v>
      </c>
      <c r="J27">
        <v>50</v>
      </c>
      <c r="K27" s="23">
        <v>12.556390977443609</v>
      </c>
      <c r="L27" s="22">
        <f>Data!J26</f>
        <v>0.53571716430969651</v>
      </c>
      <c r="M27">
        <v>416</v>
      </c>
      <c r="N27">
        <f t="shared" si="0"/>
        <v>20.8</v>
      </c>
      <c r="O27">
        <f>Data!V26</f>
        <v>283</v>
      </c>
      <c r="Q27">
        <v>377</v>
      </c>
      <c r="R27">
        <v>18.8</v>
      </c>
      <c r="S27" s="28">
        <f t="shared" si="1"/>
        <v>1.103448275862069</v>
      </c>
    </row>
    <row r="28" spans="1:19">
      <c r="A28">
        <v>18</v>
      </c>
      <c r="B28">
        <v>133</v>
      </c>
      <c r="C28">
        <v>4.5</v>
      </c>
      <c r="D28">
        <v>325</v>
      </c>
      <c r="E28">
        <v>200</v>
      </c>
      <c r="F28">
        <v>33.799999999999997</v>
      </c>
      <c r="G28" s="20">
        <f>Data!G27</f>
        <v>33.789017623861994</v>
      </c>
      <c r="H28">
        <v>1670</v>
      </c>
      <c r="I28">
        <v>50</v>
      </c>
      <c r="J28">
        <v>50</v>
      </c>
      <c r="K28" s="23">
        <v>12.556390977443609</v>
      </c>
      <c r="L28" s="22">
        <f>Data!J27</f>
        <v>0.53571716430969651</v>
      </c>
      <c r="M28">
        <v>412</v>
      </c>
      <c r="N28">
        <f t="shared" si="0"/>
        <v>20.6</v>
      </c>
      <c r="O28">
        <f>Data!V27</f>
        <v>389</v>
      </c>
      <c r="Q28">
        <v>377</v>
      </c>
      <c r="R28">
        <v>18.8</v>
      </c>
      <c r="S28" s="28">
        <f t="shared" si="1"/>
        <v>1.0928381962864722</v>
      </c>
    </row>
    <row r="29" spans="1:19">
      <c r="A29">
        <v>19</v>
      </c>
      <c r="B29">
        <v>133</v>
      </c>
      <c r="C29">
        <v>4.5</v>
      </c>
      <c r="D29">
        <v>325</v>
      </c>
      <c r="E29">
        <v>200</v>
      </c>
      <c r="F29">
        <v>33.799999999999997</v>
      </c>
      <c r="G29" s="20">
        <f>Data!G28</f>
        <v>33.789017623861994</v>
      </c>
      <c r="H29">
        <v>1670</v>
      </c>
      <c r="I29">
        <v>60</v>
      </c>
      <c r="J29">
        <v>60</v>
      </c>
      <c r="K29" s="23">
        <v>12.556390977443609</v>
      </c>
      <c r="L29" s="22">
        <f>Data!J28</f>
        <v>0.53571716430969651</v>
      </c>
      <c r="M29">
        <v>347</v>
      </c>
      <c r="N29">
        <f t="shared" si="0"/>
        <v>20.82</v>
      </c>
      <c r="O29">
        <f>Data!V28</f>
        <v>153</v>
      </c>
      <c r="Q29">
        <v>345</v>
      </c>
      <c r="R29">
        <v>23.9</v>
      </c>
      <c r="S29" s="28">
        <f t="shared" si="1"/>
        <v>1.0057971014492753</v>
      </c>
    </row>
    <row r="30" spans="1:19">
      <c r="A30">
        <v>20</v>
      </c>
      <c r="B30">
        <v>133</v>
      </c>
      <c r="C30">
        <v>4.5</v>
      </c>
      <c r="D30">
        <v>325</v>
      </c>
      <c r="E30">
        <v>200</v>
      </c>
      <c r="F30">
        <v>33.799999999999997</v>
      </c>
      <c r="G30" s="20">
        <f>Data!G29</f>
        <v>33.789017623861994</v>
      </c>
      <c r="H30">
        <v>1670</v>
      </c>
      <c r="I30">
        <v>60</v>
      </c>
      <c r="J30">
        <v>60</v>
      </c>
      <c r="K30" s="23">
        <v>12.556390977443609</v>
      </c>
      <c r="L30" s="22">
        <f>Data!J29</f>
        <v>0.53571716430969651</v>
      </c>
      <c r="M30">
        <v>335</v>
      </c>
      <c r="N30">
        <f t="shared" si="0"/>
        <v>20.100000000000001</v>
      </c>
      <c r="O30">
        <f>Data!V29</f>
        <v>283</v>
      </c>
      <c r="Q30">
        <v>345</v>
      </c>
      <c r="R30">
        <v>23.9</v>
      </c>
      <c r="S30" s="28">
        <f t="shared" si="1"/>
        <v>0.97101449275362317</v>
      </c>
    </row>
    <row r="31" spans="1:19">
      <c r="A31">
        <v>21</v>
      </c>
      <c r="B31">
        <v>133</v>
      </c>
      <c r="C31">
        <v>4.5</v>
      </c>
      <c r="D31">
        <v>325</v>
      </c>
      <c r="E31">
        <v>200</v>
      </c>
      <c r="F31">
        <v>33.799999999999997</v>
      </c>
      <c r="G31" s="20">
        <f>Data!G30</f>
        <v>33.789017623861994</v>
      </c>
      <c r="H31">
        <v>2730</v>
      </c>
      <c r="I31">
        <v>66</v>
      </c>
      <c r="J31">
        <v>66</v>
      </c>
      <c r="K31" s="23">
        <v>20.526315789473685</v>
      </c>
      <c r="L31" s="22">
        <f>Data!J30</f>
        <v>0.87575320872183926</v>
      </c>
      <c r="M31">
        <v>293</v>
      </c>
      <c r="N31" s="23">
        <f t="shared" si="0"/>
        <v>19.338000000000001</v>
      </c>
      <c r="O31">
        <f>Data!V30</f>
        <v>177</v>
      </c>
      <c r="Q31" s="21">
        <v>245</v>
      </c>
      <c r="R31">
        <v>16.2</v>
      </c>
      <c r="S31" s="28">
        <f t="shared" si="1"/>
        <v>1.1959183673469387</v>
      </c>
    </row>
    <row r="32" spans="1:19">
      <c r="A32">
        <v>22</v>
      </c>
      <c r="B32">
        <v>133</v>
      </c>
      <c r="C32">
        <v>4.5</v>
      </c>
      <c r="D32">
        <v>325</v>
      </c>
      <c r="E32">
        <v>200</v>
      </c>
      <c r="F32">
        <v>33.799999999999997</v>
      </c>
      <c r="G32" s="20">
        <f>Data!G31</f>
        <v>33.789017623861994</v>
      </c>
      <c r="H32">
        <v>2730</v>
      </c>
      <c r="I32">
        <v>66</v>
      </c>
      <c r="J32">
        <v>66</v>
      </c>
      <c r="K32" s="23">
        <v>20.526315789473685</v>
      </c>
      <c r="L32" s="22">
        <f>Data!J31</f>
        <v>0.87575320872183926</v>
      </c>
      <c r="M32">
        <v>282</v>
      </c>
      <c r="N32" s="23">
        <f t="shared" si="0"/>
        <v>18.611999999999998</v>
      </c>
      <c r="O32">
        <f>Data!V31</f>
        <v>325</v>
      </c>
      <c r="Q32" s="21">
        <v>245</v>
      </c>
      <c r="R32">
        <v>16.2</v>
      </c>
      <c r="S32" s="28">
        <f t="shared" si="1"/>
        <v>1.1510204081632653</v>
      </c>
    </row>
    <row r="33" spans="1:19">
      <c r="A33">
        <v>23</v>
      </c>
      <c r="B33">
        <v>133</v>
      </c>
      <c r="C33">
        <v>4.5</v>
      </c>
      <c r="D33">
        <v>325</v>
      </c>
      <c r="E33">
        <v>200</v>
      </c>
      <c r="F33">
        <v>33.799999999999997</v>
      </c>
      <c r="G33" s="20">
        <f>Data!G32</f>
        <v>33.789017623861994</v>
      </c>
      <c r="H33">
        <v>2730</v>
      </c>
      <c r="I33">
        <v>66</v>
      </c>
      <c r="J33">
        <v>66</v>
      </c>
      <c r="K33" s="23">
        <v>20.526315789473685</v>
      </c>
      <c r="L33" s="22">
        <f>Data!J32</f>
        <v>0.87575320872183926</v>
      </c>
      <c r="M33">
        <v>268</v>
      </c>
      <c r="N33" s="23">
        <f t="shared" si="0"/>
        <v>17.687999999999999</v>
      </c>
      <c r="O33">
        <f>Data!V32</f>
        <v>466</v>
      </c>
      <c r="Q33" s="21">
        <v>245</v>
      </c>
      <c r="R33">
        <v>16.2</v>
      </c>
      <c r="S33" s="28">
        <f t="shared" si="1"/>
        <v>1.0938775510204082</v>
      </c>
    </row>
    <row r="35" spans="1:19">
      <c r="R35" s="29" t="s">
        <v>115</v>
      </c>
      <c r="S35" s="30">
        <f>AVERAGE(S11:S33)</f>
        <v>1.1480540522323832</v>
      </c>
    </row>
    <row r="36" spans="1:19">
      <c r="R36" t="s">
        <v>116</v>
      </c>
      <c r="S36" s="22">
        <f>STDEV(S11:S33)</f>
        <v>0.12290098339437611</v>
      </c>
    </row>
    <row r="37" spans="1:19">
      <c r="R37" s="8" t="s">
        <v>117</v>
      </c>
      <c r="S37" s="21">
        <f>COUNT(S11:S33)</f>
        <v>23</v>
      </c>
    </row>
    <row r="38" spans="1:19">
      <c r="R38" s="8" t="s">
        <v>118</v>
      </c>
      <c r="S38" s="21">
        <f>COUNTIF(S11:S33,"&lt;1")</f>
        <v>3</v>
      </c>
    </row>
    <row r="39" spans="1:19">
      <c r="R39" s="8" t="s">
        <v>119</v>
      </c>
      <c r="S39" s="33">
        <f>S38/S37</f>
        <v>0.13043478260869565</v>
      </c>
    </row>
  </sheetData>
  <mergeCells count="7">
    <mergeCell ref="Q7:R7"/>
    <mergeCell ref="Q6:R6"/>
    <mergeCell ref="A1:E1"/>
    <mergeCell ref="A2:E2"/>
    <mergeCell ref="F2:J2"/>
    <mergeCell ref="H5:J5"/>
    <mergeCell ref="Q5:S5"/>
  </mergeCells>
  <phoneticPr fontId="0" type="noConversion"/>
  <pageMargins left="0.75" right="0.75" top="1" bottom="1" header="0.5" footer="0.5"/>
  <pageSetup paperSize="9" orientation="portrait" horizontalDpi="300" verticalDpi="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Goode</dc:creator>
  <cp:keywords/>
  <dc:description/>
  <cp:lastModifiedBy>X</cp:lastModifiedBy>
  <cp:revision/>
  <dcterms:created xsi:type="dcterms:W3CDTF">2003-12-05T16:25:40Z</dcterms:created>
  <dcterms:modified xsi:type="dcterms:W3CDTF">2018-11-12T15:50:59Z</dcterms:modified>
  <cp:category/>
  <cp:contentStatus/>
</cp:coreProperties>
</file>