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oode\Douglas\ASCCS\for CD\CFST Column Database 2 2007-17\"/>
    </mc:Choice>
  </mc:AlternateContent>
  <xr:revisionPtr revIDLastSave="0" documentId="12_ncr:500000_{B4B0E38F-519E-44D8-9103-897FA3B9EC8F}" xr6:coauthVersionLast="31" xr6:coauthVersionMax="31" xr10:uidLastSave="{00000000-0000-0000-0000-000000000000}"/>
  <bookViews>
    <workbookView xWindow="0" yWindow="0" windowWidth="16845" windowHeight="6960" xr2:uid="{00000000-000D-0000-FFFF-FFFF00000000}"/>
  </bookViews>
  <sheets>
    <sheet name="Summary" sheetId="2" r:id="rId1"/>
    <sheet name="Dat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8" i="2" l="1" a="1"/>
  <c r="H128" i="2" s="1"/>
  <c r="D128" i="2"/>
  <c r="H127" i="2" a="1"/>
  <c r="H127" i="2" s="1"/>
  <c r="D127" i="2"/>
  <c r="S94" i="1" l="1"/>
  <c r="S50" i="1"/>
  <c r="O65" i="2" l="1"/>
  <c r="O124" i="2" l="1"/>
  <c r="O119" i="2"/>
  <c r="O110" i="2"/>
  <c r="O106" i="2"/>
  <c r="O80" i="2"/>
  <c r="O76" i="2"/>
  <c r="O58" i="2"/>
  <c r="O48" i="2"/>
  <c r="O40" i="2"/>
  <c r="O123" i="2"/>
  <c r="O118" i="2"/>
  <c r="O109" i="2"/>
  <c r="O105" i="2"/>
  <c r="O79" i="2"/>
  <c r="O75" i="2"/>
  <c r="O64" i="2"/>
  <c r="O57" i="2"/>
  <c r="O47" i="2"/>
  <c r="O39" i="2"/>
  <c r="K125" i="2"/>
  <c r="L125" i="2" s="1"/>
  <c r="I125" i="2"/>
  <c r="G125" i="2"/>
  <c r="K122" i="2"/>
  <c r="L122" i="2" s="1"/>
  <c r="I122" i="2"/>
  <c r="G122" i="2"/>
  <c r="K121" i="2"/>
  <c r="L121" i="2" s="1"/>
  <c r="I121" i="2"/>
  <c r="G121" i="2"/>
  <c r="K120" i="2"/>
  <c r="L120" i="2" s="1"/>
  <c r="I120" i="2"/>
  <c r="G120" i="2"/>
  <c r="K117" i="2"/>
  <c r="L117" i="2" s="1"/>
  <c r="I117" i="2"/>
  <c r="G117" i="2"/>
  <c r="K116" i="2"/>
  <c r="L116" i="2" s="1"/>
  <c r="I116" i="2"/>
  <c r="G116" i="2"/>
  <c r="K115" i="2"/>
  <c r="L115" i="2" s="1"/>
  <c r="I115" i="2"/>
  <c r="G115" i="2"/>
  <c r="K114" i="2"/>
  <c r="L114" i="2" s="1"/>
  <c r="I114" i="2"/>
  <c r="G114" i="2"/>
  <c r="K113" i="2"/>
  <c r="L113" i="2" s="1"/>
  <c r="I113" i="2"/>
  <c r="G113" i="2"/>
  <c r="K112" i="2"/>
  <c r="L112" i="2" s="1"/>
  <c r="I112" i="2"/>
  <c r="G112" i="2"/>
  <c r="K111" i="2"/>
  <c r="L111" i="2" s="1"/>
  <c r="I111" i="2"/>
  <c r="G111" i="2"/>
  <c r="K108" i="2"/>
  <c r="L108" i="2" s="1"/>
  <c r="I108" i="2"/>
  <c r="G108" i="2"/>
  <c r="K107" i="2"/>
  <c r="L107" i="2" s="1"/>
  <c r="I107" i="2"/>
  <c r="G107" i="2"/>
  <c r="K104" i="2"/>
  <c r="L104" i="2" s="1"/>
  <c r="I104" i="2"/>
  <c r="G104" i="2"/>
  <c r="K103" i="2"/>
  <c r="L103" i="2" s="1"/>
  <c r="I103" i="2"/>
  <c r="G103" i="2"/>
  <c r="K102" i="2"/>
  <c r="L102" i="2" s="1"/>
  <c r="I102" i="2"/>
  <c r="G102" i="2"/>
  <c r="K101" i="2"/>
  <c r="L101" i="2" s="1"/>
  <c r="I101" i="2"/>
  <c r="G101" i="2"/>
  <c r="K100" i="2"/>
  <c r="L100" i="2" s="1"/>
  <c r="I100" i="2"/>
  <c r="G100" i="2"/>
  <c r="K99" i="2"/>
  <c r="L99" i="2" s="1"/>
  <c r="I99" i="2"/>
  <c r="G99" i="2"/>
  <c r="K98" i="2"/>
  <c r="L98" i="2" s="1"/>
  <c r="I98" i="2"/>
  <c r="G98" i="2"/>
  <c r="K97" i="2"/>
  <c r="L97" i="2" s="1"/>
  <c r="I97" i="2"/>
  <c r="G97" i="2"/>
  <c r="K96" i="2"/>
  <c r="L96" i="2" s="1"/>
  <c r="I96" i="2"/>
  <c r="G96" i="2"/>
  <c r="K95" i="2"/>
  <c r="L95" i="2" s="1"/>
  <c r="I95" i="2"/>
  <c r="G95" i="2"/>
  <c r="K94" i="2"/>
  <c r="L94" i="2" s="1"/>
  <c r="I94" i="2"/>
  <c r="G94" i="2"/>
  <c r="K93" i="2"/>
  <c r="L93" i="2" s="1"/>
  <c r="I93" i="2"/>
  <c r="G93" i="2"/>
  <c r="K92" i="2"/>
  <c r="L92" i="2" s="1"/>
  <c r="I92" i="2"/>
  <c r="G92" i="2"/>
  <c r="K91" i="2"/>
  <c r="L91" i="2" s="1"/>
  <c r="I91" i="2"/>
  <c r="G91" i="2"/>
  <c r="K90" i="2"/>
  <c r="L90" i="2" s="1"/>
  <c r="I90" i="2"/>
  <c r="G90" i="2"/>
  <c r="K89" i="2"/>
  <c r="L89" i="2" s="1"/>
  <c r="I89" i="2"/>
  <c r="G89" i="2"/>
  <c r="K88" i="2"/>
  <c r="L88" i="2" s="1"/>
  <c r="I88" i="2"/>
  <c r="G88" i="2"/>
  <c r="K87" i="2"/>
  <c r="L87" i="2" s="1"/>
  <c r="I87" i="2"/>
  <c r="G87" i="2"/>
  <c r="K86" i="2"/>
  <c r="L86" i="2" s="1"/>
  <c r="I86" i="2"/>
  <c r="G86" i="2"/>
  <c r="K85" i="2"/>
  <c r="L85" i="2" s="1"/>
  <c r="I85" i="2"/>
  <c r="G85" i="2"/>
  <c r="K84" i="2"/>
  <c r="L84" i="2" s="1"/>
  <c r="I84" i="2"/>
  <c r="G84" i="2"/>
  <c r="K83" i="2"/>
  <c r="L83" i="2" s="1"/>
  <c r="I83" i="2"/>
  <c r="G83" i="2"/>
  <c r="K82" i="2"/>
  <c r="L82" i="2" s="1"/>
  <c r="I82" i="2"/>
  <c r="G82" i="2"/>
  <c r="K81" i="2"/>
  <c r="L81" i="2" s="1"/>
  <c r="I81" i="2"/>
  <c r="G81" i="2"/>
  <c r="K78" i="2"/>
  <c r="L78" i="2" s="1"/>
  <c r="I78" i="2"/>
  <c r="G78" i="2"/>
  <c r="K77" i="2"/>
  <c r="L77" i="2" s="1"/>
  <c r="I77" i="2"/>
  <c r="G77" i="2"/>
  <c r="K74" i="2"/>
  <c r="L74" i="2" s="1"/>
  <c r="I74" i="2"/>
  <c r="G74" i="2"/>
  <c r="K73" i="2"/>
  <c r="L73" i="2" s="1"/>
  <c r="I73" i="2"/>
  <c r="G73" i="2"/>
  <c r="K72" i="2"/>
  <c r="L72" i="2" s="1"/>
  <c r="I72" i="2"/>
  <c r="G72" i="2"/>
  <c r="K71" i="2"/>
  <c r="L71" i="2" s="1"/>
  <c r="I71" i="2"/>
  <c r="G71" i="2"/>
  <c r="K70" i="2"/>
  <c r="L70" i="2" s="1"/>
  <c r="I70" i="2"/>
  <c r="G70" i="2"/>
  <c r="K69" i="2"/>
  <c r="L69" i="2" s="1"/>
  <c r="I69" i="2"/>
  <c r="G69" i="2"/>
  <c r="K63" i="2"/>
  <c r="L63" i="2" s="1"/>
  <c r="I63" i="2"/>
  <c r="G63" i="2"/>
  <c r="K62" i="2"/>
  <c r="L62" i="2" s="1"/>
  <c r="I62" i="2"/>
  <c r="G62" i="2"/>
  <c r="K61" i="2"/>
  <c r="L61" i="2" s="1"/>
  <c r="I61" i="2"/>
  <c r="G61" i="2"/>
  <c r="K60" i="2"/>
  <c r="L60" i="2" s="1"/>
  <c r="I60" i="2"/>
  <c r="G60" i="2"/>
  <c r="K59" i="2"/>
  <c r="L59" i="2" s="1"/>
  <c r="I59" i="2"/>
  <c r="G59" i="2"/>
  <c r="K56" i="2"/>
  <c r="L56" i="2" s="1"/>
  <c r="I56" i="2"/>
  <c r="G56" i="2"/>
  <c r="K55" i="2"/>
  <c r="L55" i="2" s="1"/>
  <c r="I55" i="2"/>
  <c r="G55" i="2"/>
  <c r="K54" i="2"/>
  <c r="L54" i="2" s="1"/>
  <c r="I54" i="2"/>
  <c r="G54" i="2"/>
  <c r="K53" i="2"/>
  <c r="L53" i="2" s="1"/>
  <c r="I53" i="2"/>
  <c r="G53" i="2"/>
  <c r="L52" i="2"/>
  <c r="K52" i="2"/>
  <c r="I52" i="2"/>
  <c r="G52" i="2"/>
  <c r="K51" i="2"/>
  <c r="L51" i="2" s="1"/>
  <c r="I51" i="2"/>
  <c r="G51" i="2"/>
  <c r="K49" i="2"/>
  <c r="L49" i="2" s="1"/>
  <c r="I49" i="2"/>
  <c r="G49" i="2"/>
  <c r="K46" i="2"/>
  <c r="L46" i="2" s="1"/>
  <c r="I46" i="2"/>
  <c r="G46" i="2"/>
  <c r="K45" i="2"/>
  <c r="L45" i="2" s="1"/>
  <c r="I45" i="2"/>
  <c r="G45" i="2"/>
  <c r="K44" i="2"/>
  <c r="L44" i="2" s="1"/>
  <c r="I44" i="2"/>
  <c r="G44" i="2"/>
  <c r="K43" i="2"/>
  <c r="L43" i="2" s="1"/>
  <c r="I43" i="2"/>
  <c r="G43" i="2"/>
  <c r="K42" i="2"/>
  <c r="L42" i="2" s="1"/>
  <c r="I42" i="2"/>
  <c r="G42" i="2"/>
  <c r="K41" i="2"/>
  <c r="L41" i="2" s="1"/>
  <c r="I41" i="2"/>
  <c r="G41" i="2"/>
  <c r="K38" i="2"/>
  <c r="L38" i="2" s="1"/>
  <c r="I38" i="2"/>
  <c r="G38" i="2"/>
  <c r="K37" i="2"/>
  <c r="L37" i="2" s="1"/>
  <c r="I37" i="2"/>
  <c r="G37" i="2"/>
  <c r="K36" i="2"/>
  <c r="L36" i="2" s="1"/>
  <c r="I36" i="2"/>
  <c r="G36" i="2"/>
  <c r="K35" i="2"/>
  <c r="L35" i="2" s="1"/>
  <c r="I35" i="2"/>
  <c r="G35" i="2"/>
  <c r="K34" i="2"/>
  <c r="L34" i="2" s="1"/>
  <c r="I34" i="2"/>
  <c r="G34" i="2"/>
  <c r="K33" i="2"/>
  <c r="L33" i="2" s="1"/>
  <c r="I33" i="2"/>
  <c r="G33" i="2"/>
  <c r="K32" i="2"/>
  <c r="L32" i="2" s="1"/>
  <c r="I32" i="2"/>
  <c r="G32" i="2"/>
  <c r="K31" i="2"/>
  <c r="L31" i="2" s="1"/>
  <c r="I31" i="2"/>
  <c r="G31" i="2"/>
  <c r="K30" i="2"/>
  <c r="L30" i="2" s="1"/>
  <c r="I30" i="2"/>
  <c r="G30" i="2"/>
  <c r="K29" i="2"/>
  <c r="L29" i="2" s="1"/>
  <c r="I29" i="2"/>
  <c r="G29" i="2"/>
  <c r="K28" i="2"/>
  <c r="L28" i="2" s="1"/>
  <c r="I28" i="2"/>
  <c r="G28" i="2"/>
  <c r="K27" i="2"/>
  <c r="L27" i="2" s="1"/>
  <c r="I27" i="2"/>
  <c r="G27" i="2"/>
  <c r="K26" i="2"/>
  <c r="L26" i="2" s="1"/>
  <c r="I26" i="2"/>
  <c r="G26" i="2"/>
  <c r="K25" i="2"/>
  <c r="L25" i="2" s="1"/>
  <c r="I25" i="2"/>
  <c r="G25" i="2"/>
  <c r="K24" i="2"/>
  <c r="L24" i="2" s="1"/>
  <c r="I24" i="2"/>
  <c r="G24" i="2"/>
  <c r="K23" i="2"/>
  <c r="L23" i="2" s="1"/>
  <c r="I23" i="2"/>
  <c r="G23" i="2"/>
  <c r="K22" i="2"/>
  <c r="L22" i="2" s="1"/>
  <c r="I22" i="2"/>
  <c r="G22" i="2"/>
  <c r="K21" i="2"/>
  <c r="L21" i="2" s="1"/>
  <c r="I21" i="2"/>
  <c r="G21" i="2"/>
  <c r="K20" i="2"/>
  <c r="L20" i="2" s="1"/>
  <c r="I20" i="2"/>
  <c r="G20" i="2"/>
  <c r="K19" i="2"/>
  <c r="L19" i="2" s="1"/>
  <c r="I19" i="2"/>
  <c r="G19" i="2"/>
  <c r="K18" i="2"/>
  <c r="L18" i="2" s="1"/>
  <c r="I18" i="2"/>
  <c r="G18" i="2"/>
  <c r="K17" i="2"/>
  <c r="L17" i="2" s="1"/>
  <c r="I17" i="2"/>
  <c r="G17" i="2"/>
  <c r="L16" i="2"/>
  <c r="K16" i="2"/>
  <c r="I16" i="2"/>
  <c r="G16" i="2"/>
  <c r="L15" i="2"/>
  <c r="K15" i="2"/>
  <c r="I15" i="2"/>
  <c r="G15" i="2"/>
  <c r="O127" i="2" l="1"/>
  <c r="O128" i="2"/>
  <c r="S109" i="1"/>
  <c r="S69" i="1"/>
  <c r="I69" i="1"/>
  <c r="J69" i="1"/>
  <c r="AI69" i="1" s="1"/>
  <c r="AD69" i="1"/>
  <c r="AF69" i="1" s="1"/>
  <c r="AH69" i="1" s="1"/>
  <c r="G69" i="1"/>
  <c r="N69" i="1"/>
  <c r="O69" i="1"/>
  <c r="P69" i="1"/>
  <c r="T69" i="1" s="1"/>
  <c r="AC69" i="1"/>
  <c r="L69" i="1"/>
  <c r="K69" i="1"/>
  <c r="AJ69" i="1" l="1"/>
  <c r="AE69" i="1"/>
  <c r="AG69" i="1" s="1"/>
  <c r="Q69" i="1" s="1"/>
  <c r="R69" i="1" s="1"/>
  <c r="AC107" i="1"/>
  <c r="P107" i="1"/>
  <c r="T107" i="1" s="1"/>
  <c r="O107" i="1"/>
  <c r="N107" i="1"/>
  <c r="I107" i="1"/>
  <c r="K107" i="1"/>
  <c r="L107" i="1" s="1"/>
  <c r="G107" i="1"/>
  <c r="J107" i="1" l="1"/>
  <c r="AI107" i="1" s="1"/>
  <c r="AD107" i="1"/>
  <c r="AJ107" i="1" l="1"/>
  <c r="AE107" i="1" s="1"/>
  <c r="AG107" i="1" s="1"/>
  <c r="AF107" i="1"/>
  <c r="AH107" i="1" s="1"/>
  <c r="I103" i="1"/>
  <c r="J103" i="1"/>
  <c r="AI103" i="1" s="1"/>
  <c r="K103" i="1"/>
  <c r="L103" i="1" s="1"/>
  <c r="I104" i="1"/>
  <c r="K104" i="1"/>
  <c r="L104" i="1" s="1"/>
  <c r="I105" i="1"/>
  <c r="K105" i="1"/>
  <c r="L105" i="1"/>
  <c r="G103" i="1"/>
  <c r="G104" i="1"/>
  <c r="G105" i="1"/>
  <c r="N95" i="1"/>
  <c r="O95" i="1"/>
  <c r="P95" i="1"/>
  <c r="T95" i="1" s="1"/>
  <c r="AC95" i="1"/>
  <c r="N96" i="1"/>
  <c r="O96" i="1"/>
  <c r="P96" i="1"/>
  <c r="T96" i="1"/>
  <c r="AC96" i="1"/>
  <c r="N97" i="1"/>
  <c r="O97" i="1"/>
  <c r="P97" i="1"/>
  <c r="T97" i="1" s="1"/>
  <c r="AC97" i="1"/>
  <c r="N98" i="1"/>
  <c r="O98" i="1"/>
  <c r="P98" i="1"/>
  <c r="T98" i="1" s="1"/>
  <c r="AC98" i="1"/>
  <c r="N99" i="1"/>
  <c r="O99" i="1"/>
  <c r="P99" i="1"/>
  <c r="T99" i="1" s="1"/>
  <c r="AC99" i="1"/>
  <c r="N100" i="1"/>
  <c r="O100" i="1"/>
  <c r="P100" i="1"/>
  <c r="T100" i="1"/>
  <c r="AC100" i="1"/>
  <c r="N101" i="1"/>
  <c r="O101" i="1"/>
  <c r="P101" i="1"/>
  <c r="T101" i="1" s="1"/>
  <c r="AC101" i="1"/>
  <c r="N103" i="1"/>
  <c r="O103" i="1"/>
  <c r="P103" i="1"/>
  <c r="T103" i="1" s="1"/>
  <c r="AC103" i="1"/>
  <c r="AD103" i="1" s="1"/>
  <c r="N104" i="1"/>
  <c r="O104" i="1"/>
  <c r="P104" i="1"/>
  <c r="T104" i="1" s="1"/>
  <c r="AC104" i="1"/>
  <c r="AD104" i="1" s="1"/>
  <c r="N105" i="1"/>
  <c r="O105" i="1"/>
  <c r="P105" i="1"/>
  <c r="T105" i="1" s="1"/>
  <c r="AC105" i="1"/>
  <c r="AD105" i="1" s="1"/>
  <c r="I95" i="1"/>
  <c r="K95" i="1"/>
  <c r="L95" i="1"/>
  <c r="I96" i="1"/>
  <c r="K96" i="1"/>
  <c r="L96" i="1" s="1"/>
  <c r="I97" i="1"/>
  <c r="K97" i="1"/>
  <c r="L97" i="1" s="1"/>
  <c r="I98" i="1"/>
  <c r="K98" i="1"/>
  <c r="L98" i="1"/>
  <c r="I99" i="1"/>
  <c r="K99" i="1"/>
  <c r="L99" i="1"/>
  <c r="I100" i="1"/>
  <c r="K100" i="1"/>
  <c r="L100" i="1" s="1"/>
  <c r="I101" i="1"/>
  <c r="K101" i="1"/>
  <c r="L101" i="1" s="1"/>
  <c r="G95" i="1"/>
  <c r="G96" i="1"/>
  <c r="J96" i="1" s="1"/>
  <c r="AI96" i="1" s="1"/>
  <c r="G97" i="1"/>
  <c r="J97" i="1" s="1"/>
  <c r="AI97" i="1" s="1"/>
  <c r="G98" i="1"/>
  <c r="AD98" i="1" s="1"/>
  <c r="G99" i="1"/>
  <c r="G100" i="1"/>
  <c r="J100" i="1" s="1"/>
  <c r="AI100" i="1" s="1"/>
  <c r="G101" i="1"/>
  <c r="J101" i="1" s="1"/>
  <c r="AI101" i="1" s="1"/>
  <c r="N92" i="1"/>
  <c r="O92" i="1"/>
  <c r="P92" i="1"/>
  <c r="T92" i="1" s="1"/>
  <c r="AC92" i="1"/>
  <c r="N93" i="1"/>
  <c r="O93" i="1"/>
  <c r="P93" i="1"/>
  <c r="T93" i="1"/>
  <c r="AC93" i="1"/>
  <c r="I92" i="1"/>
  <c r="K92" i="1"/>
  <c r="L92" i="1"/>
  <c r="I93" i="1"/>
  <c r="K93" i="1"/>
  <c r="L93" i="1"/>
  <c r="G92" i="1"/>
  <c r="J92" i="1" s="1"/>
  <c r="AI92" i="1" s="1"/>
  <c r="G93" i="1"/>
  <c r="J93" i="1" s="1"/>
  <c r="AI93" i="1" s="1"/>
  <c r="N67" i="1"/>
  <c r="O67" i="1"/>
  <c r="P67" i="1"/>
  <c r="T67" i="1" s="1"/>
  <c r="AC67" i="1"/>
  <c r="AD67" i="1"/>
  <c r="AJ67" i="1" s="1"/>
  <c r="N68" i="1"/>
  <c r="O68" i="1"/>
  <c r="P68" i="1"/>
  <c r="T68" i="1"/>
  <c r="AC68" i="1"/>
  <c r="AD68" i="1" s="1"/>
  <c r="N70" i="1"/>
  <c r="O70" i="1"/>
  <c r="P70" i="1"/>
  <c r="T70" i="1"/>
  <c r="AC70" i="1"/>
  <c r="AD70" i="1" s="1"/>
  <c r="N71" i="1"/>
  <c r="O71" i="1"/>
  <c r="P71" i="1"/>
  <c r="T71" i="1" s="1"/>
  <c r="AC71" i="1"/>
  <c r="N72" i="1"/>
  <c r="O72" i="1"/>
  <c r="P72" i="1"/>
  <c r="T72" i="1" s="1"/>
  <c r="AC72" i="1"/>
  <c r="AD72" i="1"/>
  <c r="AE72" i="1" s="1"/>
  <c r="AG72" i="1" s="1"/>
  <c r="N73" i="1"/>
  <c r="O73" i="1"/>
  <c r="P73" i="1"/>
  <c r="T73" i="1"/>
  <c r="AC73" i="1"/>
  <c r="AD73" i="1" s="1"/>
  <c r="N74" i="1"/>
  <c r="O74" i="1"/>
  <c r="P74" i="1"/>
  <c r="T74" i="1" s="1"/>
  <c r="AC74" i="1"/>
  <c r="AD74" i="1" s="1"/>
  <c r="N75" i="1"/>
  <c r="O75" i="1"/>
  <c r="P75" i="1"/>
  <c r="T75" i="1"/>
  <c r="AC75" i="1"/>
  <c r="N76" i="1"/>
  <c r="O76" i="1"/>
  <c r="P76" i="1"/>
  <c r="T76" i="1" s="1"/>
  <c r="AC76" i="1"/>
  <c r="N77" i="1"/>
  <c r="O77" i="1"/>
  <c r="P77" i="1"/>
  <c r="T77" i="1" s="1"/>
  <c r="AC77" i="1"/>
  <c r="N78" i="1"/>
  <c r="O78" i="1"/>
  <c r="P78" i="1"/>
  <c r="T78" i="1" s="1"/>
  <c r="AC78" i="1"/>
  <c r="N79" i="1"/>
  <c r="O79" i="1"/>
  <c r="P79" i="1"/>
  <c r="T79" i="1"/>
  <c r="AC79" i="1"/>
  <c r="N80" i="1"/>
  <c r="O80" i="1"/>
  <c r="P80" i="1"/>
  <c r="T80" i="1" s="1"/>
  <c r="AC80" i="1"/>
  <c r="N81" i="1"/>
  <c r="O81" i="1"/>
  <c r="P81" i="1"/>
  <c r="T81" i="1" s="1"/>
  <c r="AC81" i="1"/>
  <c r="N82" i="1"/>
  <c r="O82" i="1"/>
  <c r="P82" i="1"/>
  <c r="T82" i="1" s="1"/>
  <c r="AC82" i="1"/>
  <c r="N83" i="1"/>
  <c r="O83" i="1"/>
  <c r="P83" i="1"/>
  <c r="T83" i="1"/>
  <c r="AC83" i="1"/>
  <c r="N84" i="1"/>
  <c r="O84" i="1"/>
  <c r="P84" i="1"/>
  <c r="T84" i="1" s="1"/>
  <c r="AC84" i="1"/>
  <c r="N85" i="1"/>
  <c r="O85" i="1"/>
  <c r="P85" i="1"/>
  <c r="T85" i="1" s="1"/>
  <c r="AC85" i="1"/>
  <c r="N86" i="1"/>
  <c r="O86" i="1"/>
  <c r="P86" i="1"/>
  <c r="T86" i="1" s="1"/>
  <c r="AC86" i="1"/>
  <c r="N87" i="1"/>
  <c r="O87" i="1"/>
  <c r="P87" i="1"/>
  <c r="T87" i="1"/>
  <c r="AC87" i="1"/>
  <c r="N88" i="1"/>
  <c r="O88" i="1"/>
  <c r="P88" i="1"/>
  <c r="T88" i="1"/>
  <c r="AC88" i="1"/>
  <c r="N89" i="1"/>
  <c r="O89" i="1"/>
  <c r="P89" i="1"/>
  <c r="T89" i="1" s="1"/>
  <c r="AC89" i="1"/>
  <c r="N90" i="1"/>
  <c r="O90" i="1"/>
  <c r="P90" i="1"/>
  <c r="T90" i="1" s="1"/>
  <c r="AC90" i="1"/>
  <c r="I67" i="1"/>
  <c r="J67" i="1"/>
  <c r="AI67" i="1" s="1"/>
  <c r="K67" i="1"/>
  <c r="L67" i="1"/>
  <c r="I68" i="1"/>
  <c r="K68" i="1"/>
  <c r="L68" i="1"/>
  <c r="I70" i="1"/>
  <c r="K70" i="1"/>
  <c r="L70" i="1"/>
  <c r="I71" i="1"/>
  <c r="K71" i="1"/>
  <c r="L71" i="1" s="1"/>
  <c r="I72" i="1"/>
  <c r="J72" i="1"/>
  <c r="AI72" i="1" s="1"/>
  <c r="K72" i="1"/>
  <c r="L72" i="1" s="1"/>
  <c r="I73" i="1"/>
  <c r="J73" i="1"/>
  <c r="AI73" i="1" s="1"/>
  <c r="K73" i="1"/>
  <c r="L73" i="1" s="1"/>
  <c r="I74" i="1"/>
  <c r="K74" i="1"/>
  <c r="L74" i="1" s="1"/>
  <c r="I75" i="1"/>
  <c r="K75" i="1"/>
  <c r="L75" i="1" s="1"/>
  <c r="I76" i="1"/>
  <c r="K76" i="1"/>
  <c r="L76" i="1"/>
  <c r="I77" i="1"/>
  <c r="K77" i="1"/>
  <c r="L77" i="1"/>
  <c r="I78" i="1"/>
  <c r="K78" i="1"/>
  <c r="L78" i="1" s="1"/>
  <c r="I79" i="1"/>
  <c r="K79" i="1"/>
  <c r="L79" i="1" s="1"/>
  <c r="I80" i="1"/>
  <c r="K80" i="1"/>
  <c r="L80" i="1"/>
  <c r="I81" i="1"/>
  <c r="K81" i="1"/>
  <c r="L81" i="1"/>
  <c r="I82" i="1"/>
  <c r="K82" i="1"/>
  <c r="L82" i="1" s="1"/>
  <c r="I83" i="1"/>
  <c r="K83" i="1"/>
  <c r="L83" i="1" s="1"/>
  <c r="I84" i="1"/>
  <c r="K84" i="1"/>
  <c r="L84" i="1" s="1"/>
  <c r="I85" i="1"/>
  <c r="K85" i="1"/>
  <c r="L85" i="1" s="1"/>
  <c r="I86" i="1"/>
  <c r="K86" i="1"/>
  <c r="L86" i="1" s="1"/>
  <c r="I87" i="1"/>
  <c r="K87" i="1"/>
  <c r="L87" i="1"/>
  <c r="I88" i="1"/>
  <c r="K88" i="1"/>
  <c r="L88" i="1"/>
  <c r="I89" i="1"/>
  <c r="K89" i="1"/>
  <c r="L89" i="1" s="1"/>
  <c r="I90" i="1"/>
  <c r="K90" i="1"/>
  <c r="L90" i="1" s="1"/>
  <c r="G67" i="1"/>
  <c r="G68" i="1"/>
  <c r="J68" i="1" s="1"/>
  <c r="AI68" i="1" s="1"/>
  <c r="G70" i="1"/>
  <c r="J70" i="1" s="1"/>
  <c r="AI70" i="1" s="1"/>
  <c r="G71" i="1"/>
  <c r="G72" i="1"/>
  <c r="G73" i="1"/>
  <c r="G74" i="1"/>
  <c r="J74" i="1" s="1"/>
  <c r="AI74" i="1" s="1"/>
  <c r="G75" i="1"/>
  <c r="G76" i="1"/>
  <c r="J76" i="1" s="1"/>
  <c r="AI76" i="1" s="1"/>
  <c r="G77" i="1"/>
  <c r="AD77" i="1" s="1"/>
  <c r="G78" i="1"/>
  <c r="J78" i="1" s="1"/>
  <c r="AI78" i="1" s="1"/>
  <c r="G79" i="1"/>
  <c r="G80" i="1"/>
  <c r="J80" i="1" s="1"/>
  <c r="AI80" i="1" s="1"/>
  <c r="G81" i="1"/>
  <c r="J81" i="1" s="1"/>
  <c r="AI81" i="1" s="1"/>
  <c r="G82" i="1"/>
  <c r="J82" i="1" s="1"/>
  <c r="AI82" i="1" s="1"/>
  <c r="G83" i="1"/>
  <c r="G84" i="1"/>
  <c r="AD84" i="1" s="1"/>
  <c r="G85" i="1"/>
  <c r="AD85" i="1" s="1"/>
  <c r="G86" i="1"/>
  <c r="AD86" i="1" s="1"/>
  <c r="G87" i="1"/>
  <c r="G88" i="1"/>
  <c r="AD88" i="1" s="1"/>
  <c r="G89" i="1"/>
  <c r="J89" i="1" s="1"/>
  <c r="AI89" i="1" s="1"/>
  <c r="G90" i="1"/>
  <c r="AD90" i="1" s="1"/>
  <c r="N64" i="1"/>
  <c r="O64" i="1"/>
  <c r="P64" i="1"/>
  <c r="T64" i="1"/>
  <c r="AC64" i="1"/>
  <c r="AD64" i="1" s="1"/>
  <c r="N65" i="1"/>
  <c r="O65" i="1"/>
  <c r="P65" i="1"/>
  <c r="T65" i="1" s="1"/>
  <c r="AC65" i="1"/>
  <c r="AD65" i="1" s="1"/>
  <c r="I64" i="1"/>
  <c r="K64" i="1"/>
  <c r="L64" i="1"/>
  <c r="I65" i="1"/>
  <c r="K65" i="1"/>
  <c r="L65" i="1"/>
  <c r="G64" i="1"/>
  <c r="G65" i="1"/>
  <c r="N57" i="1"/>
  <c r="O57" i="1"/>
  <c r="P57" i="1"/>
  <c r="T57" i="1" s="1"/>
  <c r="AC57" i="1"/>
  <c r="AD57" i="1"/>
  <c r="AE57" i="1" s="1"/>
  <c r="AG57" i="1" s="1"/>
  <c r="N58" i="1"/>
  <c r="O58" i="1"/>
  <c r="P58" i="1"/>
  <c r="T58" i="1" s="1"/>
  <c r="AC58" i="1"/>
  <c r="N59" i="1"/>
  <c r="O59" i="1"/>
  <c r="P59" i="1"/>
  <c r="T59" i="1"/>
  <c r="AC59" i="1"/>
  <c r="AD59" i="1" s="1"/>
  <c r="AE59" i="1" s="1"/>
  <c r="AG59" i="1" s="1"/>
  <c r="N60" i="1"/>
  <c r="O60" i="1"/>
  <c r="P60" i="1"/>
  <c r="T60" i="1" s="1"/>
  <c r="AC60" i="1"/>
  <c r="AD60" i="1"/>
  <c r="AF60" i="1" s="1"/>
  <c r="AH60" i="1" s="1"/>
  <c r="N61" i="1"/>
  <c r="O61" i="1"/>
  <c r="P61" i="1"/>
  <c r="T61" i="1" s="1"/>
  <c r="AC61" i="1"/>
  <c r="AD61" i="1"/>
  <c r="AF61" i="1" s="1"/>
  <c r="AH61" i="1" s="1"/>
  <c r="Q61" i="1" s="1"/>
  <c r="AE61" i="1"/>
  <c r="AG61" i="1" s="1"/>
  <c r="N62" i="1"/>
  <c r="O62" i="1"/>
  <c r="P62" i="1"/>
  <c r="T62" i="1" s="1"/>
  <c r="AC62" i="1"/>
  <c r="I57" i="1"/>
  <c r="K57" i="1"/>
  <c r="L57" i="1"/>
  <c r="I58" i="1"/>
  <c r="K58" i="1"/>
  <c r="L58" i="1" s="1"/>
  <c r="I59" i="1"/>
  <c r="K59" i="1"/>
  <c r="L59" i="1" s="1"/>
  <c r="I60" i="1"/>
  <c r="J60" i="1"/>
  <c r="AI60" i="1" s="1"/>
  <c r="K60" i="1"/>
  <c r="L60" i="1" s="1"/>
  <c r="I61" i="1"/>
  <c r="J61" i="1"/>
  <c r="AI61" i="1" s="1"/>
  <c r="K61" i="1"/>
  <c r="L61" i="1" s="1"/>
  <c r="I62" i="1"/>
  <c r="K62" i="1"/>
  <c r="L62" i="1"/>
  <c r="G62" i="1"/>
  <c r="G61" i="1"/>
  <c r="G57" i="1"/>
  <c r="J57" i="1" s="1"/>
  <c r="AI57" i="1" s="1"/>
  <c r="G58" i="1"/>
  <c r="G59" i="1"/>
  <c r="G60" i="1"/>
  <c r="AD100" i="1" l="1"/>
  <c r="AD99" i="1"/>
  <c r="AF99" i="1" s="1"/>
  <c r="AH99" i="1" s="1"/>
  <c r="AD81" i="1"/>
  <c r="AF81" i="1" s="1"/>
  <c r="AH81" i="1" s="1"/>
  <c r="AD95" i="1"/>
  <c r="AF95" i="1" s="1"/>
  <c r="AH95" i="1" s="1"/>
  <c r="AJ70" i="1"/>
  <c r="AF70" i="1"/>
  <c r="AH70" i="1" s="1"/>
  <c r="AE70" i="1"/>
  <c r="AG70" i="1" s="1"/>
  <c r="AF68" i="1"/>
  <c r="AH68" i="1" s="1"/>
  <c r="AE68" i="1"/>
  <c r="AG68" i="1" s="1"/>
  <c r="AE74" i="1"/>
  <c r="AG74" i="1" s="1"/>
  <c r="AJ74" i="1"/>
  <c r="AF74" i="1"/>
  <c r="AH74" i="1" s="1"/>
  <c r="AF73" i="1"/>
  <c r="AH73" i="1" s="1"/>
  <c r="Q73" i="1" s="1"/>
  <c r="R73" i="1" s="1"/>
  <c r="S73" i="1" s="1"/>
  <c r="AE73" i="1"/>
  <c r="AG73" i="1" s="1"/>
  <c r="AD62" i="1"/>
  <c r="AE62" i="1" s="1"/>
  <c r="AG62" i="1" s="1"/>
  <c r="AJ61" i="1"/>
  <c r="J86" i="1"/>
  <c r="AI86" i="1" s="1"/>
  <c r="J85" i="1"/>
  <c r="AI85" i="1" s="1"/>
  <c r="J84" i="1"/>
  <c r="AI84" i="1" s="1"/>
  <c r="AD78" i="1"/>
  <c r="AE78" i="1" s="1"/>
  <c r="AG78" i="1" s="1"/>
  <c r="AF57" i="1"/>
  <c r="AH57" i="1" s="1"/>
  <c r="J65" i="1"/>
  <c r="AI65" i="1" s="1"/>
  <c r="J64" i="1"/>
  <c r="AI64" i="1" s="1"/>
  <c r="AD71" i="1"/>
  <c r="J99" i="1"/>
  <c r="AI99" i="1" s="1"/>
  <c r="AD58" i="1"/>
  <c r="AJ58" i="1" s="1"/>
  <c r="AJ57" i="1"/>
  <c r="AE60" i="1"/>
  <c r="AG60" i="1" s="1"/>
  <c r="J59" i="1"/>
  <c r="AI59" i="1" s="1"/>
  <c r="J88" i="1"/>
  <c r="AI88" i="1" s="1"/>
  <c r="AD75" i="1"/>
  <c r="AF75" i="1" s="1"/>
  <c r="AH75" i="1" s="1"/>
  <c r="AF85" i="1"/>
  <c r="AH85" i="1" s="1"/>
  <c r="AE85" i="1"/>
  <c r="AG85" i="1" s="1"/>
  <c r="AF77" i="1"/>
  <c r="AH77" i="1" s="1"/>
  <c r="AE77" i="1"/>
  <c r="AG77" i="1" s="1"/>
  <c r="AJ90" i="1"/>
  <c r="AE90" i="1"/>
  <c r="AG90" i="1" s="1"/>
  <c r="AF90" i="1"/>
  <c r="AH90" i="1" s="1"/>
  <c r="Q90" i="1" s="1"/>
  <c r="AF86" i="1"/>
  <c r="AH86" i="1" s="1"/>
  <c r="AJ86" i="1"/>
  <c r="AE86" i="1"/>
  <c r="AG86" i="1" s="1"/>
  <c r="AD92" i="1"/>
  <c r="AD89" i="1"/>
  <c r="AF89" i="1" s="1"/>
  <c r="AH89" i="1" s="1"/>
  <c r="AD87" i="1"/>
  <c r="AD83" i="1"/>
  <c r="AF83" i="1" s="1"/>
  <c r="AH83" i="1" s="1"/>
  <c r="AD82" i="1"/>
  <c r="AJ78" i="1"/>
  <c r="AD76" i="1"/>
  <c r="AE76" i="1" s="1"/>
  <c r="AG76" i="1" s="1"/>
  <c r="AD101" i="1"/>
  <c r="AF101" i="1" s="1"/>
  <c r="AH101" i="1" s="1"/>
  <c r="AD79" i="1"/>
  <c r="AF79" i="1" s="1"/>
  <c r="AH79" i="1" s="1"/>
  <c r="J90" i="1"/>
  <c r="AI90" i="1" s="1"/>
  <c r="J77" i="1"/>
  <c r="AI77" i="1" s="1"/>
  <c r="AD80" i="1"/>
  <c r="AJ80" i="1" s="1"/>
  <c r="AE80" i="1" s="1"/>
  <c r="AG80" i="1" s="1"/>
  <c r="AF78" i="1"/>
  <c r="AH78" i="1" s="1"/>
  <c r="AD93" i="1"/>
  <c r="AF93" i="1" s="1"/>
  <c r="AH93" i="1" s="1"/>
  <c r="J98" i="1"/>
  <c r="AI98" i="1" s="1"/>
  <c r="J95" i="1"/>
  <c r="AI95" i="1" s="1"/>
  <c r="AJ100" i="1"/>
  <c r="AE100" i="1" s="1"/>
  <c r="AG100" i="1" s="1"/>
  <c r="AD97" i="1"/>
  <c r="AF97" i="1" s="1"/>
  <c r="AH97" i="1" s="1"/>
  <c r="AE81" i="1"/>
  <c r="AG81" i="1" s="1"/>
  <c r="Q81" i="1" s="1"/>
  <c r="R81" i="1" s="1"/>
  <c r="S81" i="1" s="1"/>
  <c r="AF100" i="1"/>
  <c r="AH100" i="1" s="1"/>
  <c r="AD96" i="1"/>
  <c r="AF96" i="1" s="1"/>
  <c r="AH96" i="1" s="1"/>
  <c r="Q107" i="1"/>
  <c r="R107" i="1" s="1"/>
  <c r="S107" i="1" s="1"/>
  <c r="J105" i="1"/>
  <c r="AI105" i="1" s="1"/>
  <c r="J104" i="1"/>
  <c r="AI104" i="1" s="1"/>
  <c r="AE104" i="1"/>
  <c r="AG104" i="1" s="1"/>
  <c r="Q104" i="1" s="1"/>
  <c r="AF104" i="1"/>
  <c r="AH104" i="1" s="1"/>
  <c r="AJ104" i="1"/>
  <c r="AJ95" i="1"/>
  <c r="AE95" i="1" s="1"/>
  <c r="AG95" i="1" s="1"/>
  <c r="AE103" i="1"/>
  <c r="AG103" i="1" s="1"/>
  <c r="AF103" i="1"/>
  <c r="AH103" i="1" s="1"/>
  <c r="AJ103" i="1"/>
  <c r="AJ101" i="1"/>
  <c r="AE101" i="1" s="1"/>
  <c r="AG101" i="1" s="1"/>
  <c r="Q99" i="1"/>
  <c r="R99" i="1" s="1"/>
  <c r="S99" i="1" s="1"/>
  <c r="AJ97" i="1"/>
  <c r="AE97" i="1" s="1"/>
  <c r="AG97" i="1" s="1"/>
  <c r="AE105" i="1"/>
  <c r="AG105" i="1" s="1"/>
  <c r="AF105" i="1"/>
  <c r="AH105" i="1" s="1"/>
  <c r="AJ105" i="1"/>
  <c r="AJ96" i="1"/>
  <c r="AE96" i="1" s="1"/>
  <c r="AG96" i="1" s="1"/>
  <c r="AJ98" i="1"/>
  <c r="AE98" i="1" s="1"/>
  <c r="AG98" i="1" s="1"/>
  <c r="AF98" i="1"/>
  <c r="AH98" i="1" s="1"/>
  <c r="AJ99" i="1"/>
  <c r="AE99" i="1" s="1"/>
  <c r="AG99" i="1" s="1"/>
  <c r="AJ92" i="1"/>
  <c r="AE92" i="1" s="1"/>
  <c r="AG92" i="1" s="1"/>
  <c r="AF92" i="1"/>
  <c r="AH92" i="1" s="1"/>
  <c r="AF87" i="1"/>
  <c r="AH87" i="1" s="1"/>
  <c r="AJ87" i="1"/>
  <c r="AE87" i="1" s="1"/>
  <c r="AG87" i="1" s="1"/>
  <c r="Q85" i="1"/>
  <c r="R85" i="1" s="1"/>
  <c r="S85" i="1" s="1"/>
  <c r="Q74" i="1"/>
  <c r="R74" i="1" s="1"/>
  <c r="S74" i="1" s="1"/>
  <c r="Q78" i="1"/>
  <c r="R78" i="1" s="1"/>
  <c r="S78" i="1" s="1"/>
  <c r="AF71" i="1"/>
  <c r="AH71" i="1" s="1"/>
  <c r="AJ71" i="1"/>
  <c r="AE71" i="1" s="1"/>
  <c r="AG71" i="1" s="1"/>
  <c r="J87" i="1"/>
  <c r="AI87" i="1" s="1"/>
  <c r="J83" i="1"/>
  <c r="AI83" i="1" s="1"/>
  <c r="J75" i="1"/>
  <c r="AI75" i="1" s="1"/>
  <c r="AJ88" i="1"/>
  <c r="AE88" i="1" s="1"/>
  <c r="AG88" i="1" s="1"/>
  <c r="AF88" i="1"/>
  <c r="AH88" i="1" s="1"/>
  <c r="AJ84" i="1"/>
  <c r="AE84" i="1" s="1"/>
  <c r="AG84" i="1" s="1"/>
  <c r="AF84" i="1"/>
  <c r="AH84" i="1" s="1"/>
  <c r="AJ76" i="1"/>
  <c r="AF76" i="1"/>
  <c r="AH76" i="1" s="1"/>
  <c r="Q76" i="1" s="1"/>
  <c r="R76" i="1" s="1"/>
  <c r="S76" i="1" s="1"/>
  <c r="AJ72" i="1"/>
  <c r="AF72" i="1"/>
  <c r="AH72" i="1" s="1"/>
  <c r="Q72" i="1" s="1"/>
  <c r="R72" i="1" s="1"/>
  <c r="S72" i="1" s="1"/>
  <c r="AE67" i="1"/>
  <c r="AG67" i="1" s="1"/>
  <c r="AF67" i="1"/>
  <c r="AH67" i="1" s="1"/>
  <c r="J79" i="1"/>
  <c r="AI79" i="1" s="1"/>
  <c r="J71" i="1"/>
  <c r="AI71" i="1" s="1"/>
  <c r="AJ85" i="1"/>
  <c r="AJ81" i="1"/>
  <c r="AJ77" i="1"/>
  <c r="AJ73" i="1"/>
  <c r="AJ68" i="1"/>
  <c r="AF65" i="1"/>
  <c r="AH65" i="1" s="1"/>
  <c r="AJ65" i="1"/>
  <c r="AE65" i="1"/>
  <c r="AG65" i="1" s="1"/>
  <c r="AJ64" i="1"/>
  <c r="AE64" i="1" s="1"/>
  <c r="AG64" i="1" s="1"/>
  <c r="AF64" i="1"/>
  <c r="AH64" i="1" s="1"/>
  <c r="AE58" i="1"/>
  <c r="AG58" i="1" s="1"/>
  <c r="AF58" i="1"/>
  <c r="AH58" i="1" s="1"/>
  <c r="AJ62" i="1"/>
  <c r="Q60" i="1"/>
  <c r="R60" i="1" s="1"/>
  <c r="S60" i="1" s="1"/>
  <c r="R61" i="1"/>
  <c r="S61" i="1" s="1"/>
  <c r="Q57" i="1"/>
  <c r="R57" i="1" s="1"/>
  <c r="S57" i="1" s="1"/>
  <c r="AJ59" i="1"/>
  <c r="AF59" i="1"/>
  <c r="AH59" i="1" s="1"/>
  <c r="Q59" i="1" s="1"/>
  <c r="R59" i="1" s="1"/>
  <c r="S59" i="1" s="1"/>
  <c r="J62" i="1"/>
  <c r="AI62" i="1" s="1"/>
  <c r="J58" i="1"/>
  <c r="AI58" i="1" s="1"/>
  <c r="AJ60" i="1"/>
  <c r="AJ79" i="1" l="1"/>
  <c r="AE79" i="1" s="1"/>
  <c r="AG79" i="1" s="1"/>
  <c r="Q100" i="1"/>
  <c r="R100" i="1" s="1"/>
  <c r="S100" i="1" s="1"/>
  <c r="Q86" i="1"/>
  <c r="R86" i="1" s="1"/>
  <c r="S86" i="1" s="1"/>
  <c r="AJ89" i="1"/>
  <c r="AE89" i="1" s="1"/>
  <c r="AG89" i="1" s="1"/>
  <c r="Q89" i="1" s="1"/>
  <c r="R89" i="1" s="1"/>
  <c r="S89" i="1" s="1"/>
  <c r="R90" i="1"/>
  <c r="S90" i="1" s="1"/>
  <c r="Q68" i="1"/>
  <c r="R68" i="1" s="1"/>
  <c r="S68" i="1" s="1"/>
  <c r="AF62" i="1"/>
  <c r="AH62" i="1" s="1"/>
  <c r="Q62" i="1" s="1"/>
  <c r="AF80" i="1"/>
  <c r="AH80" i="1" s="1"/>
  <c r="Q80" i="1" s="1"/>
  <c r="R80" i="1" s="1"/>
  <c r="S80" i="1" s="1"/>
  <c r="AJ75" i="1"/>
  <c r="AE75" i="1" s="1"/>
  <c r="AG75" i="1" s="1"/>
  <c r="AJ83" i="1"/>
  <c r="AE83" i="1" s="1"/>
  <c r="AG83" i="1" s="1"/>
  <c r="R62" i="1"/>
  <c r="S62" i="1" s="1"/>
  <c r="AJ93" i="1"/>
  <c r="AE93" i="1" s="1"/>
  <c r="AG93" i="1" s="1"/>
  <c r="Q93" i="1" s="1"/>
  <c r="R93" i="1" s="1"/>
  <c r="S93" i="1" s="1"/>
  <c r="Q70" i="1"/>
  <c r="R70" i="1" s="1"/>
  <c r="S70" i="1" s="1"/>
  <c r="AF82" i="1"/>
  <c r="AH82" i="1" s="1"/>
  <c r="AE82" i="1"/>
  <c r="AG82" i="1" s="1"/>
  <c r="AJ82" i="1"/>
  <c r="Q77" i="1"/>
  <c r="R77" i="1" s="1"/>
  <c r="S77" i="1" s="1"/>
  <c r="R104" i="1"/>
  <c r="S104" i="1" s="1"/>
  <c r="Q103" i="1"/>
  <c r="R103" i="1" s="1"/>
  <c r="S103" i="1" s="1"/>
  <c r="Q105" i="1"/>
  <c r="R105" i="1" s="1"/>
  <c r="S105" i="1" s="1"/>
  <c r="S106" i="1" s="1"/>
  <c r="Q98" i="1"/>
  <c r="R98" i="1" s="1"/>
  <c r="S98" i="1" s="1"/>
  <c r="Q101" i="1"/>
  <c r="R101" i="1" s="1"/>
  <c r="S101" i="1" s="1"/>
  <c r="Q95" i="1"/>
  <c r="R95" i="1" s="1"/>
  <c r="S95" i="1" s="1"/>
  <c r="Q97" i="1"/>
  <c r="R97" i="1" s="1"/>
  <c r="S97" i="1" s="1"/>
  <c r="Q96" i="1"/>
  <c r="R96" i="1" s="1"/>
  <c r="S96" i="1" s="1"/>
  <c r="Q92" i="1"/>
  <c r="R92" i="1" s="1"/>
  <c r="S92" i="1" s="1"/>
  <c r="Q88" i="1"/>
  <c r="R88" i="1" s="1"/>
  <c r="S88" i="1" s="1"/>
  <c r="Q75" i="1"/>
  <c r="R75" i="1" s="1"/>
  <c r="S75" i="1" s="1"/>
  <c r="Q83" i="1"/>
  <c r="R83" i="1" s="1"/>
  <c r="S83" i="1" s="1"/>
  <c r="Q87" i="1"/>
  <c r="R87" i="1" s="1"/>
  <c r="S87" i="1" s="1"/>
  <c r="Q67" i="1"/>
  <c r="R67" i="1" s="1"/>
  <c r="S67" i="1" s="1"/>
  <c r="Q84" i="1"/>
  <c r="R84" i="1" s="1"/>
  <c r="S84" i="1" s="1"/>
  <c r="Q71" i="1"/>
  <c r="R71" i="1" s="1"/>
  <c r="S71" i="1" s="1"/>
  <c r="Q79" i="1"/>
  <c r="R79" i="1" s="1"/>
  <c r="S79" i="1" s="1"/>
  <c r="Q64" i="1"/>
  <c r="R64" i="1" s="1"/>
  <c r="S64" i="1" s="1"/>
  <c r="S66" i="1" s="1"/>
  <c r="Q65" i="1"/>
  <c r="R65" i="1" s="1"/>
  <c r="S65" i="1" s="1"/>
  <c r="Q58" i="1"/>
  <c r="R58" i="1" s="1"/>
  <c r="S58" i="1" s="1"/>
  <c r="S63" i="1" s="1"/>
  <c r="Q82" i="1" l="1"/>
  <c r="R82" i="1" s="1"/>
  <c r="S82" i="1" s="1"/>
  <c r="S91" i="1" s="1"/>
  <c r="S102" i="1"/>
  <c r="N52" i="1"/>
  <c r="O52" i="1"/>
  <c r="P52" i="1"/>
  <c r="T52" i="1"/>
  <c r="N53" i="1"/>
  <c r="O53" i="1"/>
  <c r="P53" i="1"/>
  <c r="T53" i="1" s="1"/>
  <c r="N54" i="1"/>
  <c r="O54" i="1"/>
  <c r="P54" i="1"/>
  <c r="T54" i="1" s="1"/>
  <c r="N55" i="1"/>
  <c r="O55" i="1"/>
  <c r="P55" i="1"/>
  <c r="T55" i="1" s="1"/>
  <c r="N51" i="1"/>
  <c r="AC51" i="1"/>
  <c r="AC52" i="1"/>
  <c r="AD52" i="1" s="1"/>
  <c r="AC53" i="1"/>
  <c r="AC54" i="1"/>
  <c r="AC55" i="1"/>
  <c r="P49" i="1"/>
  <c r="T49" i="1" s="1"/>
  <c r="O49" i="1"/>
  <c r="N49" i="1"/>
  <c r="P51" i="1"/>
  <c r="T51" i="1" s="1"/>
  <c r="O51" i="1"/>
  <c r="N40" i="1"/>
  <c r="I51" i="1"/>
  <c r="K51" i="1"/>
  <c r="L51" i="1" s="1"/>
  <c r="I52" i="1"/>
  <c r="K52" i="1"/>
  <c r="L52" i="1" s="1"/>
  <c r="I53" i="1"/>
  <c r="K53" i="1"/>
  <c r="L53" i="1" s="1"/>
  <c r="I54" i="1"/>
  <c r="K54" i="1"/>
  <c r="L54" i="1" s="1"/>
  <c r="I55" i="1"/>
  <c r="K55" i="1"/>
  <c r="L55" i="1" s="1"/>
  <c r="G51" i="1"/>
  <c r="G52" i="1"/>
  <c r="G53" i="1"/>
  <c r="G54" i="1"/>
  <c r="G55" i="1"/>
  <c r="N42" i="1"/>
  <c r="O42" i="1"/>
  <c r="P42" i="1"/>
  <c r="T42" i="1" s="1"/>
  <c r="AC42" i="1"/>
  <c r="N44" i="1"/>
  <c r="O44" i="1"/>
  <c r="P44" i="1"/>
  <c r="T44" i="1" s="1"/>
  <c r="AC44" i="1"/>
  <c r="N45" i="1"/>
  <c r="O45" i="1"/>
  <c r="P45" i="1"/>
  <c r="T45" i="1" s="1"/>
  <c r="AC45" i="1"/>
  <c r="AD45" i="1" s="1"/>
  <c r="N46" i="1"/>
  <c r="O46" i="1"/>
  <c r="P46" i="1"/>
  <c r="T46" i="1" s="1"/>
  <c r="AC46" i="1"/>
  <c r="N47" i="1"/>
  <c r="O47" i="1"/>
  <c r="P47" i="1"/>
  <c r="T47" i="1" s="1"/>
  <c r="AC47" i="1"/>
  <c r="AD47" i="1" s="1"/>
  <c r="AF47" i="1" s="1"/>
  <c r="AH47" i="1" s="1"/>
  <c r="N48" i="1"/>
  <c r="O48" i="1"/>
  <c r="P48" i="1"/>
  <c r="T48" i="1" s="1"/>
  <c r="AC48" i="1"/>
  <c r="AC49" i="1"/>
  <c r="I44" i="1"/>
  <c r="K44" i="1"/>
  <c r="L44" i="1" s="1"/>
  <c r="I45" i="1"/>
  <c r="K45" i="1"/>
  <c r="L45" i="1" s="1"/>
  <c r="I46" i="1"/>
  <c r="K46" i="1"/>
  <c r="L46" i="1" s="1"/>
  <c r="I47" i="1"/>
  <c r="K47" i="1"/>
  <c r="L47" i="1" s="1"/>
  <c r="I48" i="1"/>
  <c r="K48" i="1"/>
  <c r="L48" i="1" s="1"/>
  <c r="I49" i="1"/>
  <c r="K49" i="1"/>
  <c r="L49" i="1" s="1"/>
  <c r="G44" i="1"/>
  <c r="G45" i="1"/>
  <c r="G46" i="1"/>
  <c r="G47" i="1"/>
  <c r="G48" i="1"/>
  <c r="G49" i="1"/>
  <c r="K42" i="1"/>
  <c r="L42" i="1" s="1"/>
  <c r="I40" i="1"/>
  <c r="I42" i="1"/>
  <c r="G42" i="1"/>
  <c r="J42" i="1" s="1"/>
  <c r="AI42" i="1" s="1"/>
  <c r="N35" i="1"/>
  <c r="O35" i="1"/>
  <c r="P35" i="1"/>
  <c r="T35" i="1" s="1"/>
  <c r="AC35" i="1"/>
  <c r="N36" i="1"/>
  <c r="O36" i="1"/>
  <c r="P36" i="1"/>
  <c r="T36" i="1" s="1"/>
  <c r="AC36" i="1"/>
  <c r="N37" i="1"/>
  <c r="O37" i="1"/>
  <c r="P37" i="1"/>
  <c r="T37" i="1" s="1"/>
  <c r="AC37" i="1"/>
  <c r="N38" i="1"/>
  <c r="O38" i="1"/>
  <c r="P38" i="1"/>
  <c r="T38" i="1" s="1"/>
  <c r="AC38" i="1"/>
  <c r="N39" i="1"/>
  <c r="O39" i="1"/>
  <c r="P39" i="1"/>
  <c r="T39" i="1" s="1"/>
  <c r="AC39" i="1"/>
  <c r="O40" i="1"/>
  <c r="P40" i="1"/>
  <c r="T40" i="1" s="1"/>
  <c r="AC40" i="1"/>
  <c r="N33" i="1"/>
  <c r="I35" i="1"/>
  <c r="K35" i="1"/>
  <c r="L35" i="1" s="1"/>
  <c r="I36" i="1"/>
  <c r="K36" i="1"/>
  <c r="L36" i="1" s="1"/>
  <c r="I37" i="1"/>
  <c r="K37" i="1"/>
  <c r="L37" i="1" s="1"/>
  <c r="I38" i="1"/>
  <c r="K38" i="1"/>
  <c r="L38" i="1" s="1"/>
  <c r="I39" i="1"/>
  <c r="K39" i="1"/>
  <c r="L39" i="1" s="1"/>
  <c r="K40" i="1"/>
  <c r="L40" i="1" s="1"/>
  <c r="G35" i="1"/>
  <c r="J35" i="1" s="1"/>
  <c r="AI35" i="1" s="1"/>
  <c r="G36" i="1"/>
  <c r="G37" i="1"/>
  <c r="G38" i="1"/>
  <c r="G39" i="1"/>
  <c r="G40" i="1"/>
  <c r="N11" i="1"/>
  <c r="O11" i="1"/>
  <c r="P11" i="1"/>
  <c r="T11" i="1" s="1"/>
  <c r="AC11" i="1"/>
  <c r="N12" i="1"/>
  <c r="O12" i="1"/>
  <c r="P12" i="1"/>
  <c r="T12" i="1" s="1"/>
  <c r="AC12" i="1"/>
  <c r="N13" i="1"/>
  <c r="O13" i="1"/>
  <c r="P13" i="1"/>
  <c r="T13" i="1" s="1"/>
  <c r="AC13" i="1"/>
  <c r="N14" i="1"/>
  <c r="O14" i="1"/>
  <c r="P14" i="1"/>
  <c r="T14" i="1" s="1"/>
  <c r="AC14" i="1"/>
  <c r="N15" i="1"/>
  <c r="O15" i="1"/>
  <c r="P15" i="1"/>
  <c r="T15" i="1" s="1"/>
  <c r="AC15" i="1"/>
  <c r="N16" i="1"/>
  <c r="O16" i="1"/>
  <c r="P16" i="1"/>
  <c r="T16" i="1" s="1"/>
  <c r="AC16" i="1"/>
  <c r="N17" i="1"/>
  <c r="O17" i="1"/>
  <c r="P17" i="1"/>
  <c r="T17" i="1"/>
  <c r="AC17" i="1"/>
  <c r="N18" i="1"/>
  <c r="O18" i="1"/>
  <c r="P18" i="1"/>
  <c r="T18" i="1" s="1"/>
  <c r="AC18" i="1"/>
  <c r="AD18" i="1" s="1"/>
  <c r="N19" i="1"/>
  <c r="O19" i="1"/>
  <c r="P19" i="1"/>
  <c r="T19" i="1"/>
  <c r="AC19" i="1"/>
  <c r="N20" i="1"/>
  <c r="O20" i="1"/>
  <c r="P20" i="1"/>
  <c r="T20" i="1" s="1"/>
  <c r="AC20" i="1"/>
  <c r="N21" i="1"/>
  <c r="O21" i="1"/>
  <c r="P21" i="1"/>
  <c r="T21" i="1" s="1"/>
  <c r="AC21" i="1"/>
  <c r="N22" i="1"/>
  <c r="O22" i="1"/>
  <c r="P22" i="1"/>
  <c r="T22" i="1" s="1"/>
  <c r="AC22" i="1"/>
  <c r="N23" i="1"/>
  <c r="O23" i="1"/>
  <c r="P23" i="1"/>
  <c r="T23" i="1" s="1"/>
  <c r="AC23" i="1"/>
  <c r="N24" i="1"/>
  <c r="O24" i="1"/>
  <c r="P24" i="1"/>
  <c r="T24" i="1" s="1"/>
  <c r="AC24" i="1"/>
  <c r="N25" i="1"/>
  <c r="O25" i="1"/>
  <c r="P25" i="1"/>
  <c r="T25" i="1" s="1"/>
  <c r="AC25" i="1"/>
  <c r="N26" i="1"/>
  <c r="O26" i="1"/>
  <c r="P26" i="1"/>
  <c r="T26" i="1" s="1"/>
  <c r="AC26" i="1"/>
  <c r="N27" i="1"/>
  <c r="O27" i="1"/>
  <c r="P27" i="1"/>
  <c r="T27" i="1" s="1"/>
  <c r="AC27" i="1"/>
  <c r="N28" i="1"/>
  <c r="O28" i="1"/>
  <c r="P28" i="1"/>
  <c r="T28" i="1" s="1"/>
  <c r="AC28" i="1"/>
  <c r="N29" i="1"/>
  <c r="O29" i="1"/>
  <c r="P29" i="1"/>
  <c r="T29" i="1" s="1"/>
  <c r="AC29" i="1"/>
  <c r="N30" i="1"/>
  <c r="O30" i="1"/>
  <c r="P30" i="1"/>
  <c r="T30" i="1" s="1"/>
  <c r="AC30" i="1"/>
  <c r="N31" i="1"/>
  <c r="O31" i="1"/>
  <c r="P31" i="1"/>
  <c r="T31" i="1" s="1"/>
  <c r="AC31" i="1"/>
  <c r="N32" i="1"/>
  <c r="O32" i="1"/>
  <c r="P32" i="1"/>
  <c r="T32" i="1" s="1"/>
  <c r="AC32" i="1"/>
  <c r="O33" i="1"/>
  <c r="P33" i="1"/>
  <c r="T33" i="1" s="1"/>
  <c r="AC33" i="1"/>
  <c r="I11" i="1"/>
  <c r="K11" i="1"/>
  <c r="L11" i="1" s="1"/>
  <c r="I12" i="1"/>
  <c r="K12" i="1"/>
  <c r="L12" i="1" s="1"/>
  <c r="I13" i="1"/>
  <c r="K13" i="1"/>
  <c r="L13" i="1" s="1"/>
  <c r="I14" i="1"/>
  <c r="K14" i="1"/>
  <c r="L14" i="1" s="1"/>
  <c r="I15" i="1"/>
  <c r="K15" i="1"/>
  <c r="L15" i="1" s="1"/>
  <c r="I16" i="1"/>
  <c r="K16" i="1"/>
  <c r="L16" i="1" s="1"/>
  <c r="I17" i="1"/>
  <c r="K17" i="1"/>
  <c r="L17" i="1" s="1"/>
  <c r="I18" i="1"/>
  <c r="K18" i="1"/>
  <c r="L18" i="1" s="1"/>
  <c r="I19" i="1"/>
  <c r="K19" i="1"/>
  <c r="L19" i="1" s="1"/>
  <c r="I20" i="1"/>
  <c r="K20" i="1"/>
  <c r="L20" i="1" s="1"/>
  <c r="I21" i="1"/>
  <c r="K21" i="1"/>
  <c r="L21" i="1"/>
  <c r="I22" i="1"/>
  <c r="K22" i="1"/>
  <c r="L22" i="1"/>
  <c r="I23" i="1"/>
  <c r="K23" i="1"/>
  <c r="L23" i="1" s="1"/>
  <c r="I24" i="1"/>
  <c r="K24" i="1"/>
  <c r="L24" i="1" s="1"/>
  <c r="I25" i="1"/>
  <c r="K25" i="1"/>
  <c r="L25" i="1" s="1"/>
  <c r="I26" i="1"/>
  <c r="K26" i="1"/>
  <c r="L26" i="1" s="1"/>
  <c r="I27" i="1"/>
  <c r="K27" i="1"/>
  <c r="L27" i="1" s="1"/>
  <c r="I28" i="1"/>
  <c r="K28" i="1"/>
  <c r="L28" i="1" s="1"/>
  <c r="I29" i="1"/>
  <c r="K29" i="1"/>
  <c r="L29" i="1" s="1"/>
  <c r="I30" i="1"/>
  <c r="K30" i="1"/>
  <c r="L30" i="1" s="1"/>
  <c r="I31" i="1"/>
  <c r="K31" i="1"/>
  <c r="L31" i="1" s="1"/>
  <c r="I32" i="1"/>
  <c r="K32" i="1"/>
  <c r="L32" i="1" s="1"/>
  <c r="I33" i="1"/>
  <c r="K33" i="1"/>
  <c r="L33" i="1" s="1"/>
  <c r="G11" i="1"/>
  <c r="G12" i="1"/>
  <c r="J12" i="1" s="1"/>
  <c r="AI12" i="1" s="1"/>
  <c r="G13" i="1"/>
  <c r="J13" i="1" s="1"/>
  <c r="AI13" i="1" s="1"/>
  <c r="G14" i="1"/>
  <c r="J14" i="1" s="1"/>
  <c r="AI14" i="1" s="1"/>
  <c r="G15" i="1"/>
  <c r="G16" i="1"/>
  <c r="AD16" i="1" s="1"/>
  <c r="AE16" i="1" s="1"/>
  <c r="AG16" i="1" s="1"/>
  <c r="G17" i="1"/>
  <c r="G18" i="1"/>
  <c r="G19" i="1"/>
  <c r="G20" i="1"/>
  <c r="J20" i="1" s="1"/>
  <c r="AI20" i="1" s="1"/>
  <c r="G21" i="1"/>
  <c r="J21" i="1" s="1"/>
  <c r="AI21" i="1" s="1"/>
  <c r="G22" i="1"/>
  <c r="G23" i="1"/>
  <c r="G24" i="1"/>
  <c r="J24" i="1" s="1"/>
  <c r="AI24" i="1" s="1"/>
  <c r="G25" i="1"/>
  <c r="AD25" i="1" s="1"/>
  <c r="G26" i="1"/>
  <c r="J26" i="1" s="1"/>
  <c r="AI26" i="1" s="1"/>
  <c r="G27" i="1"/>
  <c r="G28" i="1"/>
  <c r="J28" i="1" s="1"/>
  <c r="AI28" i="1" s="1"/>
  <c r="G29" i="1"/>
  <c r="J29" i="1" s="1"/>
  <c r="AI29" i="1" s="1"/>
  <c r="G30" i="1"/>
  <c r="J30" i="1" s="1"/>
  <c r="AI30" i="1" s="1"/>
  <c r="G31" i="1"/>
  <c r="G32" i="1"/>
  <c r="G33" i="1"/>
  <c r="J33" i="1" s="1"/>
  <c r="AI33" i="1" s="1"/>
  <c r="AD39" i="1" l="1"/>
  <c r="AD35" i="1"/>
  <c r="J46" i="1"/>
  <c r="AI46" i="1" s="1"/>
  <c r="AD22" i="1"/>
  <c r="AE22" i="1" s="1"/>
  <c r="AG22" i="1" s="1"/>
  <c r="J18" i="1"/>
  <c r="AI18" i="1" s="1"/>
  <c r="AD33" i="1"/>
  <c r="AF33" i="1" s="1"/>
  <c r="AH33" i="1" s="1"/>
  <c r="AD32" i="1"/>
  <c r="AD30" i="1"/>
  <c r="AJ30" i="1" s="1"/>
  <c r="AE30" i="1" s="1"/>
  <c r="AG30" i="1" s="1"/>
  <c r="AD29" i="1"/>
  <c r="AF29" i="1" s="1"/>
  <c r="AH29" i="1" s="1"/>
  <c r="AD28" i="1"/>
  <c r="AD26" i="1"/>
  <c r="AD24" i="1"/>
  <c r="AE24" i="1" s="1"/>
  <c r="AG24" i="1" s="1"/>
  <c r="AD14" i="1"/>
  <c r="AD13" i="1"/>
  <c r="AF13" i="1" s="1"/>
  <c r="AH13" i="1" s="1"/>
  <c r="AD12" i="1"/>
  <c r="J48" i="1"/>
  <c r="AI48" i="1" s="1"/>
  <c r="AD17" i="1"/>
  <c r="AD21" i="1"/>
  <c r="AD20" i="1"/>
  <c r="AE20" i="1" s="1"/>
  <c r="AG20" i="1" s="1"/>
  <c r="AD49" i="1"/>
  <c r="AJ49" i="1" s="1"/>
  <c r="AE49" i="1" s="1"/>
  <c r="AG49" i="1" s="1"/>
  <c r="AD55" i="1"/>
  <c r="AJ55" i="1" s="1"/>
  <c r="AD54" i="1"/>
  <c r="AE54" i="1" s="1"/>
  <c r="AG54" i="1" s="1"/>
  <c r="J52" i="1"/>
  <c r="AI52" i="1" s="1"/>
  <c r="AD53" i="1"/>
  <c r="AE53" i="1" s="1"/>
  <c r="AG53" i="1" s="1"/>
  <c r="AD51" i="1"/>
  <c r="AJ51" i="1" s="1"/>
  <c r="AE51" i="1" s="1"/>
  <c r="AG51" i="1" s="1"/>
  <c r="J39" i="1"/>
  <c r="AI39" i="1" s="1"/>
  <c r="AD37" i="1"/>
  <c r="AF37" i="1" s="1"/>
  <c r="AH37" i="1" s="1"/>
  <c r="J36" i="1"/>
  <c r="AI36" i="1" s="1"/>
  <c r="AE55" i="1"/>
  <c r="AG55" i="1" s="1"/>
  <c r="AF55" i="1"/>
  <c r="AH55" i="1" s="1"/>
  <c r="AF53" i="1"/>
  <c r="AH53" i="1" s="1"/>
  <c r="AE52" i="1"/>
  <c r="AG52" i="1" s="1"/>
  <c r="AF52" i="1"/>
  <c r="AH52" i="1" s="1"/>
  <c r="AJ52" i="1"/>
  <c r="AF54" i="1"/>
  <c r="AH54" i="1" s="1"/>
  <c r="AJ54" i="1"/>
  <c r="J55" i="1"/>
  <c r="AI55" i="1" s="1"/>
  <c r="J51" i="1"/>
  <c r="AI51" i="1" s="1"/>
  <c r="J54" i="1"/>
  <c r="AI54" i="1" s="1"/>
  <c r="J53" i="1"/>
  <c r="AI53" i="1" s="1"/>
  <c r="J47" i="1"/>
  <c r="AI47" i="1" s="1"/>
  <c r="J45" i="1"/>
  <c r="AI45" i="1" s="1"/>
  <c r="J44" i="1"/>
  <c r="AI44" i="1" s="1"/>
  <c r="AF30" i="1"/>
  <c r="AH30" i="1" s="1"/>
  <c r="Q30" i="1" s="1"/>
  <c r="R30" i="1" s="1"/>
  <c r="S30" i="1" s="1"/>
  <c r="AE26" i="1"/>
  <c r="AG26" i="1" s="1"/>
  <c r="AF26" i="1"/>
  <c r="AH26" i="1" s="1"/>
  <c r="AJ26" i="1"/>
  <c r="AF14" i="1"/>
  <c r="AH14" i="1" s="1"/>
  <c r="AJ14" i="1"/>
  <c r="AE14" i="1" s="1"/>
  <c r="AG14" i="1" s="1"/>
  <c r="AJ18" i="1"/>
  <c r="AE18" i="1"/>
  <c r="AG18" i="1" s="1"/>
  <c r="AF18" i="1"/>
  <c r="AH18" i="1" s="1"/>
  <c r="AF25" i="1"/>
  <c r="AH25" i="1" s="1"/>
  <c r="Q25" i="1" s="1"/>
  <c r="AE25" i="1"/>
  <c r="AG25" i="1" s="1"/>
  <c r="AF17" i="1"/>
  <c r="AH17" i="1" s="1"/>
  <c r="Q17" i="1" s="1"/>
  <c r="R17" i="1" s="1"/>
  <c r="S17" i="1" s="1"/>
  <c r="AE17" i="1"/>
  <c r="AG17" i="1" s="1"/>
  <c r="AF21" i="1"/>
  <c r="AH21" i="1" s="1"/>
  <c r="AE21" i="1"/>
  <c r="AG21" i="1" s="1"/>
  <c r="J32" i="1"/>
  <c r="AI32" i="1" s="1"/>
  <c r="J17" i="1"/>
  <c r="AI17" i="1" s="1"/>
  <c r="J16" i="1"/>
  <c r="AI16" i="1" s="1"/>
  <c r="AD27" i="1"/>
  <c r="AE27" i="1" s="1"/>
  <c r="AG27" i="1" s="1"/>
  <c r="J37" i="1"/>
  <c r="AI37" i="1" s="1"/>
  <c r="AD38" i="1"/>
  <c r="AF38" i="1" s="1"/>
  <c r="AH38" i="1" s="1"/>
  <c r="AD48" i="1"/>
  <c r="AF48" i="1" s="1"/>
  <c r="AH48" i="1" s="1"/>
  <c r="J22" i="1"/>
  <c r="AI22" i="1" s="1"/>
  <c r="AD15" i="1"/>
  <c r="AF15" i="1" s="1"/>
  <c r="AH15" i="1" s="1"/>
  <c r="AD40" i="1"/>
  <c r="AJ40" i="1" s="1"/>
  <c r="AE40" i="1" s="1"/>
  <c r="AG40" i="1" s="1"/>
  <c r="AD36" i="1"/>
  <c r="AF36" i="1" s="1"/>
  <c r="AH36" i="1" s="1"/>
  <c r="J49" i="1"/>
  <c r="AI49" i="1" s="1"/>
  <c r="J25" i="1"/>
  <c r="AI25" i="1" s="1"/>
  <c r="R25" i="1" s="1"/>
  <c r="S25" i="1" s="1"/>
  <c r="AD19" i="1"/>
  <c r="AD11" i="1"/>
  <c r="AD44" i="1"/>
  <c r="AF44" i="1" s="1"/>
  <c r="AH44" i="1" s="1"/>
  <c r="AD31" i="1"/>
  <c r="AJ31" i="1" s="1"/>
  <c r="AE31" i="1" s="1"/>
  <c r="AG31" i="1" s="1"/>
  <c r="AD23" i="1"/>
  <c r="AD46" i="1"/>
  <c r="AF46" i="1" s="1"/>
  <c r="AH46" i="1" s="1"/>
  <c r="AD42" i="1"/>
  <c r="AJ42" i="1" s="1"/>
  <c r="AE45" i="1"/>
  <c r="AG45" i="1" s="1"/>
  <c r="AJ45" i="1"/>
  <c r="AF45" i="1"/>
  <c r="AH45" i="1" s="1"/>
  <c r="AJ47" i="1"/>
  <c r="AE47" i="1" s="1"/>
  <c r="AG47" i="1" s="1"/>
  <c r="Q47" i="1" s="1"/>
  <c r="J40" i="1"/>
  <c r="AI40" i="1" s="1"/>
  <c r="AJ39" i="1"/>
  <c r="AE39" i="1" s="1"/>
  <c r="AG39" i="1" s="1"/>
  <c r="AF39" i="1"/>
  <c r="AH39" i="1" s="1"/>
  <c r="AJ35" i="1"/>
  <c r="AE35" i="1" s="1"/>
  <c r="AG35" i="1" s="1"/>
  <c r="AF35" i="1"/>
  <c r="AH35" i="1" s="1"/>
  <c r="J38" i="1"/>
  <c r="AI38" i="1" s="1"/>
  <c r="AF31" i="1"/>
  <c r="AH31" i="1" s="1"/>
  <c r="AE23" i="1"/>
  <c r="AG23" i="1" s="1"/>
  <c r="AF23" i="1"/>
  <c r="AH23" i="1" s="1"/>
  <c r="AJ23" i="1"/>
  <c r="AJ27" i="1"/>
  <c r="AF32" i="1"/>
  <c r="AH32" i="1" s="1"/>
  <c r="AJ32" i="1"/>
  <c r="AE32" i="1" s="1"/>
  <c r="AG32" i="1" s="1"/>
  <c r="Q26" i="1"/>
  <c r="R26" i="1" s="1"/>
  <c r="S26" i="1" s="1"/>
  <c r="AE19" i="1"/>
  <c r="AG19" i="1" s="1"/>
  <c r="AF19" i="1"/>
  <c r="AH19" i="1" s="1"/>
  <c r="Q19" i="1" s="1"/>
  <c r="AJ19" i="1"/>
  <c r="AE11" i="1"/>
  <c r="AG11" i="1" s="1"/>
  <c r="AF11" i="1"/>
  <c r="AH11" i="1" s="1"/>
  <c r="AJ11" i="1"/>
  <c r="J31" i="1"/>
  <c r="AI31" i="1" s="1"/>
  <c r="J23" i="1"/>
  <c r="AI23" i="1" s="1"/>
  <c r="J15" i="1"/>
  <c r="AI15" i="1" s="1"/>
  <c r="J27" i="1"/>
  <c r="AI27" i="1" s="1"/>
  <c r="J19" i="1"/>
  <c r="AI19" i="1" s="1"/>
  <c r="J11" i="1"/>
  <c r="AI11" i="1" s="1"/>
  <c r="AJ28" i="1"/>
  <c r="AE28" i="1" s="1"/>
  <c r="AG28" i="1" s="1"/>
  <c r="AF28" i="1"/>
  <c r="AH28" i="1" s="1"/>
  <c r="AF24" i="1"/>
  <c r="AH24" i="1" s="1"/>
  <c r="Q24" i="1" s="1"/>
  <c r="R24" i="1" s="1"/>
  <c r="S24" i="1" s="1"/>
  <c r="AJ20" i="1"/>
  <c r="AF20" i="1"/>
  <c r="AH20" i="1" s="1"/>
  <c r="Q20" i="1" s="1"/>
  <c r="R20" i="1" s="1"/>
  <c r="S20" i="1" s="1"/>
  <c r="AJ16" i="1"/>
  <c r="AF16" i="1"/>
  <c r="AH16" i="1" s="1"/>
  <c r="Q16" i="1" s="1"/>
  <c r="R16" i="1" s="1"/>
  <c r="S16" i="1" s="1"/>
  <c r="AJ12" i="1"/>
  <c r="AE12" i="1" s="1"/>
  <c r="AG12" i="1" s="1"/>
  <c r="AF12" i="1"/>
  <c r="AH12" i="1" s="1"/>
  <c r="AJ33" i="1"/>
  <c r="AE33" i="1" s="1"/>
  <c r="AG33" i="1" s="1"/>
  <c r="Q33" i="1" s="1"/>
  <c r="R33" i="1" s="1"/>
  <c r="S33" i="1" s="1"/>
  <c r="AJ29" i="1"/>
  <c r="AE29" i="1" s="1"/>
  <c r="AG29" i="1" s="1"/>
  <c r="Q29" i="1" s="1"/>
  <c r="R29" i="1" s="1"/>
  <c r="S29" i="1" s="1"/>
  <c r="AJ25" i="1"/>
  <c r="AJ21" i="1"/>
  <c r="AJ17" i="1"/>
  <c r="AJ13" i="1"/>
  <c r="AE13" i="1" s="1"/>
  <c r="AG13" i="1" s="1"/>
  <c r="Q13" i="1" s="1"/>
  <c r="R13" i="1" s="1"/>
  <c r="S13" i="1" s="1"/>
  <c r="AJ24" i="1" l="1"/>
  <c r="AJ22" i="1"/>
  <c r="AF51" i="1"/>
  <c r="AH51" i="1" s="1"/>
  <c r="AJ15" i="1"/>
  <c r="AE15" i="1" s="1"/>
  <c r="AG15" i="1" s="1"/>
  <c r="Q15" i="1" s="1"/>
  <c r="R15" i="1" s="1"/>
  <c r="S15" i="1" s="1"/>
  <c r="AF49" i="1"/>
  <c r="AH49" i="1" s="1"/>
  <c r="Q49" i="1" s="1"/>
  <c r="R49" i="1" s="1"/>
  <c r="S49" i="1" s="1"/>
  <c r="AF22" i="1"/>
  <c r="AH22" i="1" s="1"/>
  <c r="Q22" i="1" s="1"/>
  <c r="R22" i="1" s="1"/>
  <c r="S22" i="1" s="1"/>
  <c r="Q55" i="1"/>
  <c r="R55" i="1" s="1"/>
  <c r="S55" i="1" s="1"/>
  <c r="Q14" i="1"/>
  <c r="R14" i="1" s="1"/>
  <c r="S14" i="1" s="1"/>
  <c r="Q54" i="1"/>
  <c r="R54" i="1" s="1"/>
  <c r="S54" i="1" s="1"/>
  <c r="AJ53" i="1"/>
  <c r="Q53" i="1"/>
  <c r="R53" i="1" s="1"/>
  <c r="S53" i="1" s="1"/>
  <c r="Q52" i="1"/>
  <c r="R52" i="1" s="1"/>
  <c r="S52" i="1" s="1"/>
  <c r="Q51" i="1"/>
  <c r="AJ37" i="1"/>
  <c r="AE37" i="1" s="1"/>
  <c r="AG37" i="1" s="1"/>
  <c r="Q37" i="1" s="1"/>
  <c r="R37" i="1" s="1"/>
  <c r="S37" i="1" s="1"/>
  <c r="Q45" i="1"/>
  <c r="R45" i="1" s="1"/>
  <c r="S45" i="1" s="1"/>
  <c r="AF40" i="1"/>
  <c r="AH40" i="1" s="1"/>
  <c r="Q40" i="1" s="1"/>
  <c r="R40" i="1" s="1"/>
  <c r="S40" i="1" s="1"/>
  <c r="R51" i="1"/>
  <c r="S51" i="1" s="1"/>
  <c r="AJ48" i="1"/>
  <c r="AE48" i="1" s="1"/>
  <c r="AG48" i="1" s="1"/>
  <c r="Q48" i="1" s="1"/>
  <c r="R48" i="1" s="1"/>
  <c r="S48" i="1" s="1"/>
  <c r="R47" i="1"/>
  <c r="S47" i="1" s="1"/>
  <c r="AJ46" i="1"/>
  <c r="AE46" i="1" s="1"/>
  <c r="AG46" i="1" s="1"/>
  <c r="Q46" i="1" s="1"/>
  <c r="R46" i="1" s="1"/>
  <c r="S46" i="1" s="1"/>
  <c r="AJ36" i="1"/>
  <c r="AE36" i="1" s="1"/>
  <c r="AG36" i="1" s="1"/>
  <c r="Q36" i="1" s="1"/>
  <c r="R36" i="1" s="1"/>
  <c r="S36" i="1" s="1"/>
  <c r="AJ38" i="1"/>
  <c r="AE38" i="1" s="1"/>
  <c r="AG38" i="1" s="1"/>
  <c r="Q38" i="1" s="1"/>
  <c r="R38" i="1" s="1"/>
  <c r="S38" i="1" s="1"/>
  <c r="AF27" i="1"/>
  <c r="AH27" i="1" s="1"/>
  <c r="Q27" i="1" s="1"/>
  <c r="Q23" i="1"/>
  <c r="R23" i="1" s="1"/>
  <c r="S23" i="1" s="1"/>
  <c r="AE42" i="1"/>
  <c r="AG42" i="1" s="1"/>
  <c r="Q21" i="1"/>
  <c r="R21" i="1" s="1"/>
  <c r="S21" i="1" s="1"/>
  <c r="AJ44" i="1"/>
  <c r="AE44" i="1" s="1"/>
  <c r="AG44" i="1" s="1"/>
  <c r="Q44" i="1" s="1"/>
  <c r="R44" i="1" s="1"/>
  <c r="S44" i="1" s="1"/>
  <c r="AF42" i="1"/>
  <c r="AH42" i="1" s="1"/>
  <c r="Q11" i="1"/>
  <c r="R11" i="1" s="1"/>
  <c r="S11" i="1" s="1"/>
  <c r="Q18" i="1"/>
  <c r="R18" i="1" s="1"/>
  <c r="S18" i="1" s="1"/>
  <c r="Q35" i="1"/>
  <c r="R35" i="1" s="1"/>
  <c r="S35" i="1" s="1"/>
  <c r="Q39" i="1"/>
  <c r="R39" i="1" s="1"/>
  <c r="S39" i="1" s="1"/>
  <c r="Q31" i="1"/>
  <c r="R31" i="1" s="1"/>
  <c r="S31" i="1" s="1"/>
  <c r="R19" i="1"/>
  <c r="S19" i="1" s="1"/>
  <c r="Q12" i="1"/>
  <c r="R12" i="1" s="1"/>
  <c r="S12" i="1" s="1"/>
  <c r="Q28" i="1"/>
  <c r="R28" i="1" s="1"/>
  <c r="S28" i="1" s="1"/>
  <c r="R27" i="1"/>
  <c r="S27" i="1" s="1"/>
  <c r="Q32" i="1"/>
  <c r="R32" i="1" s="1"/>
  <c r="S32" i="1" s="1"/>
  <c r="S56" i="1" l="1"/>
  <c r="S41" i="1"/>
  <c r="Q42" i="1"/>
  <c r="R42" i="1" s="1"/>
  <c r="S42" i="1" s="1"/>
  <c r="AC10" i="1"/>
  <c r="P10" i="1"/>
  <c r="T10" i="1" s="1"/>
  <c r="O10" i="1"/>
  <c r="N10" i="1"/>
  <c r="K10" i="1"/>
  <c r="L10" i="1" s="1"/>
  <c r="I10" i="1"/>
  <c r="G10" i="1"/>
  <c r="J10" i="1" l="1"/>
  <c r="AI10" i="1" s="1"/>
  <c r="AD10" i="1"/>
  <c r="AJ10" i="1" l="1"/>
  <c r="AE10" i="1" s="1"/>
  <c r="AG10" i="1" s="1"/>
  <c r="AF10" i="1"/>
  <c r="AH10" i="1" s="1"/>
  <c r="Q10" i="1" l="1"/>
  <c r="R10" i="1" s="1"/>
  <c r="S10" i="1" s="1"/>
  <c r="S34" i="1" s="1"/>
</calcChain>
</file>

<file path=xl/sharedStrings.xml><?xml version="1.0" encoding="utf-8"?>
<sst xmlns="http://schemas.openxmlformats.org/spreadsheetml/2006/main" count="402" uniqueCount="190">
  <si>
    <t xml:space="preserve">No </t>
  </si>
  <si>
    <t>Moment</t>
  </si>
  <si>
    <t xml:space="preserve"> DATA.</t>
  </si>
  <si>
    <t>Notes:</t>
  </si>
  <si>
    <t>(A)  fcyl</t>
  </si>
  <si>
    <t xml:space="preserve"> = 0.8*fcu</t>
  </si>
  <si>
    <t xml:space="preserve"> </t>
  </si>
  <si>
    <t>(B) Ec =</t>
  </si>
  <si>
    <t>22*((fcyl +</t>
  </si>
  <si>
    <t>8)/10)^0.3</t>
  </si>
  <si>
    <t>EC4 "local buckling if D/t &gt; 90*(235/fy)</t>
  </si>
  <si>
    <t>(C)  Sle</t>
  </si>
  <si>
    <t>nderness</t>
  </si>
  <si>
    <t xml:space="preserve"> = SQRT(</t>
  </si>
  <si>
    <t>NplR/Ncrit</t>
  </si>
  <si>
    <t>)</t>
  </si>
  <si>
    <t xml:space="preserve">   Theory</t>
  </si>
  <si>
    <t>for</t>
  </si>
  <si>
    <t>Short</t>
  </si>
  <si>
    <t>Column</t>
  </si>
  <si>
    <t xml:space="preserve">  Long</t>
  </si>
  <si>
    <t xml:space="preserve"> &lt;   add</t>
  </si>
  <si>
    <t>itional</t>
  </si>
  <si>
    <t xml:space="preserve"> ..</t>
  </si>
  <si>
    <t xml:space="preserve">   data</t>
  </si>
  <si>
    <t xml:space="preserve">    &gt;</t>
  </si>
  <si>
    <t xml:space="preserve"> &lt;</t>
  </si>
  <si>
    <t>subsi</t>
  </si>
  <si>
    <t>diary</t>
  </si>
  <si>
    <t xml:space="preserve">  cal</t>
  </si>
  <si>
    <t>culations</t>
  </si>
  <si>
    <t>&gt;</t>
  </si>
  <si>
    <t>local</t>
  </si>
  <si>
    <t xml:space="preserve">   Test  </t>
  </si>
  <si>
    <t>EC4</t>
  </si>
  <si>
    <t xml:space="preserve">  EC4</t>
  </si>
  <si>
    <t xml:space="preserve"> Chi x</t>
  </si>
  <si>
    <t xml:space="preserve">  Test   </t>
  </si>
  <si>
    <t>d</t>
  </si>
  <si>
    <t>def. at</t>
  </si>
  <si>
    <t>n = eta</t>
  </si>
  <si>
    <t>factors</t>
  </si>
  <si>
    <t>Ref. No.</t>
  </si>
  <si>
    <t xml:space="preserve">  Dia.</t>
  </si>
  <si>
    <t xml:space="preserve"> thick</t>
  </si>
  <si>
    <t xml:space="preserve"> Yield</t>
  </si>
  <si>
    <t xml:space="preserve">  Es</t>
  </si>
  <si>
    <t xml:space="preserve"> f cyl</t>
  </si>
  <si>
    <t xml:space="preserve">  Ec</t>
  </si>
  <si>
    <t xml:space="preserve"> Length</t>
  </si>
  <si>
    <t xml:space="preserve">  L/D</t>
  </si>
  <si>
    <t>slender-</t>
  </si>
  <si>
    <t>D/t</t>
  </si>
  <si>
    <t>buckling</t>
  </si>
  <si>
    <t xml:space="preserve">   Nmax</t>
  </si>
  <si>
    <t xml:space="preserve">   Nuniax</t>
  </si>
  <si>
    <t xml:space="preserve">  Nu cdg</t>
  </si>
  <si>
    <t>Npl,Rd</t>
  </si>
  <si>
    <t xml:space="preserve">  nNplR</t>
  </si>
  <si>
    <t>Long EC4</t>
  </si>
  <si>
    <t>Asfy</t>
  </si>
  <si>
    <t>max load</t>
  </si>
  <si>
    <t xml:space="preserve">  End</t>
  </si>
  <si>
    <t>init.def</t>
  </si>
  <si>
    <t xml:space="preserve">   s2</t>
  </si>
  <si>
    <t xml:space="preserve">  e2</t>
  </si>
  <si>
    <t xml:space="preserve">   Ey</t>
  </si>
  <si>
    <t xml:space="preserve"> ecmax</t>
  </si>
  <si>
    <t xml:space="preserve"> eult</t>
  </si>
  <si>
    <t>Slend</t>
  </si>
  <si>
    <t xml:space="preserve">   mm</t>
  </si>
  <si>
    <t xml:space="preserve">  MPa</t>
  </si>
  <si>
    <t xml:space="preserve">  GPa</t>
  </si>
  <si>
    <t xml:space="preserve">  ness</t>
  </si>
  <si>
    <t>if &gt; 1</t>
  </si>
  <si>
    <t xml:space="preserve">    kN</t>
  </si>
  <si>
    <t xml:space="preserve">     kN</t>
  </si>
  <si>
    <t>kN</t>
  </si>
  <si>
    <t xml:space="preserve">   kN</t>
  </si>
  <si>
    <t xml:space="preserve"> condit.</t>
  </si>
  <si>
    <t xml:space="preserve">   MPa</t>
  </si>
  <si>
    <t xml:space="preserve">   GPa</t>
  </si>
  <si>
    <t>Ex n</t>
  </si>
  <si>
    <t>EC4xn</t>
  </si>
  <si>
    <t xml:space="preserve"> n10</t>
  </si>
  <si>
    <t xml:space="preserve"> n20</t>
  </si>
  <si>
    <t xml:space="preserve"> n1</t>
  </si>
  <si>
    <t xml:space="preserve"> n2</t>
  </si>
  <si>
    <t xml:space="preserve">  Chi</t>
  </si>
  <si>
    <t>n10*</t>
  </si>
  <si>
    <t>Guiaux</t>
  </si>
  <si>
    <t xml:space="preserve">  bb)    Long  Concrete filled Circular Columns</t>
  </si>
  <si>
    <t>Lin</t>
  </si>
  <si>
    <t>D1</t>
  </si>
  <si>
    <t>D2</t>
  </si>
  <si>
    <t>D4</t>
  </si>
  <si>
    <t>D6</t>
  </si>
  <si>
    <t>E1</t>
  </si>
  <si>
    <t>E6</t>
  </si>
  <si>
    <t>Bergman</t>
  </si>
  <si>
    <t>RU14</t>
  </si>
  <si>
    <t>Kenny</t>
  </si>
  <si>
    <t>Matsui</t>
  </si>
  <si>
    <t>C8-0</t>
  </si>
  <si>
    <t>C12-0</t>
  </si>
  <si>
    <t>C18-0</t>
  </si>
  <si>
    <t>C24-0</t>
  </si>
  <si>
    <t>C30-0</t>
  </si>
  <si>
    <t>C90-1</t>
  </si>
  <si>
    <t>C90-2</t>
  </si>
  <si>
    <t>C150-1</t>
  </si>
  <si>
    <t>C150-2</t>
  </si>
  <si>
    <t>Yu</t>
  </si>
  <si>
    <t>C300-1</t>
  </si>
  <si>
    <t>C300-2</t>
  </si>
  <si>
    <t>O49C36_30</t>
  </si>
  <si>
    <t>O57C30_30</t>
  </si>
  <si>
    <t>Lee</t>
  </si>
  <si>
    <t>Ref: 128</t>
  </si>
  <si>
    <t>S1-1</t>
  </si>
  <si>
    <t>S1-2</t>
  </si>
  <si>
    <t>Dundu</t>
  </si>
  <si>
    <t>S1-4</t>
  </si>
  <si>
    <t>S1-5</t>
  </si>
  <si>
    <t>S1-6</t>
  </si>
  <si>
    <t>S1-7</t>
  </si>
  <si>
    <t>S1-8</t>
  </si>
  <si>
    <t>S1-9</t>
  </si>
  <si>
    <t>S1-10</t>
  </si>
  <si>
    <t>S1-11</t>
  </si>
  <si>
    <t>S1-12</t>
  </si>
  <si>
    <t>S2-1</t>
  </si>
  <si>
    <t>S2-2</t>
  </si>
  <si>
    <t>S2-3</t>
  </si>
  <si>
    <t>S2-4</t>
  </si>
  <si>
    <t>S2-5</t>
  </si>
  <si>
    <t>S2-6</t>
  </si>
  <si>
    <t>S2-7</t>
  </si>
  <si>
    <t>S2-8</t>
  </si>
  <si>
    <t>S2-9</t>
  </si>
  <si>
    <t>S2-10</t>
  </si>
  <si>
    <t>S2-11</t>
  </si>
  <si>
    <t>S2-12</t>
  </si>
  <si>
    <t>Ccfst-1</t>
  </si>
  <si>
    <t>Ccfst-2</t>
  </si>
  <si>
    <t>Yang</t>
  </si>
  <si>
    <t>CF2.5-1</t>
  </si>
  <si>
    <t>CF2.5-2</t>
  </si>
  <si>
    <t>CF2.5-3</t>
  </si>
  <si>
    <t>CF3-1</t>
  </si>
  <si>
    <t>CF3-2</t>
  </si>
  <si>
    <t>Guler</t>
  </si>
  <si>
    <t>CF3-3</t>
  </si>
  <si>
    <t>CF3.3-1</t>
  </si>
  <si>
    <t>Portoles</t>
  </si>
  <si>
    <t>*</t>
  </si>
  <si>
    <t>Ref: 147</t>
  </si>
  <si>
    <t>Ref: 148</t>
  </si>
  <si>
    <t>Ref: 151</t>
  </si>
  <si>
    <t>Ref: 154</t>
  </si>
  <si>
    <t>Ref: 156</t>
  </si>
  <si>
    <t>Ref:157</t>
  </si>
  <si>
    <t>Av (6) =</t>
  </si>
  <si>
    <t>Av (5) =</t>
  </si>
  <si>
    <t>Av (2) =</t>
  </si>
  <si>
    <t>Av (7) =</t>
  </si>
  <si>
    <t>Av (3) =</t>
  </si>
  <si>
    <t>Overall</t>
  </si>
  <si>
    <t>Av (24) =</t>
  </si>
  <si>
    <t>Ref: 37</t>
  </si>
  <si>
    <t>Ref: 40</t>
  </si>
  <si>
    <t>*  in fcyl column means cylinder assumed (type not given)</t>
  </si>
  <si>
    <t>Elchalakan</t>
  </si>
  <si>
    <t>114/5.9</t>
  </si>
  <si>
    <t>S1-3</t>
  </si>
  <si>
    <t>Av (87) =</t>
  </si>
  <si>
    <t>St Dev =</t>
  </si>
  <si>
    <t xml:space="preserve">  EC4 kN</t>
  </si>
  <si>
    <t>longxChi</t>
  </si>
  <si>
    <t xml:space="preserve">  bb)  Long Circular No Moment</t>
  </si>
  <si>
    <t>Ref: 122</t>
  </si>
  <si>
    <t>Ref: 125</t>
  </si>
  <si>
    <t>Ref: 135</t>
  </si>
  <si>
    <t>Summary of DATA and EC4 prediction</t>
  </si>
  <si>
    <t>(B) Ecm =</t>
  </si>
  <si>
    <t xml:space="preserve">  Ecm</t>
  </si>
  <si>
    <t>with fcyl</t>
  </si>
  <si>
    <t>&gt; 75</t>
  </si>
  <si>
    <t>T/EC4 =</t>
  </si>
  <si>
    <t>&gt;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</si>
</sst>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_)"/>
    <numFmt numFmtId="165" formatCode="0.00_)"/>
    <numFmt numFmtId="166" formatCode="0.0000_)"/>
    <numFmt numFmtId="167" formatCode="0.000_)"/>
    <numFmt numFmtId="168" formatCode="0.0"/>
    <numFmt numFmtId="169" formatCode="0_)"/>
    <numFmt numFmtId="170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2"/>
      <name val="Courier"/>
    </font>
    <font>
      <sz val="8"/>
      <name val="Arial"/>
      <family val="2"/>
    </font>
    <font>
      <b/>
      <u/>
      <sz val="10"/>
      <name val="Arial"/>
      <family val="2"/>
    </font>
    <font>
      <b/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 applyProtection="1">
      <alignment horizontal="right"/>
    </xf>
    <xf numFmtId="164" fontId="2" fillId="0" borderId="0" xfId="0" applyNumberFormat="1" applyFont="1" applyProtection="1"/>
    <xf numFmtId="164" fontId="2" fillId="0" borderId="0" xfId="0" applyNumberFormat="1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left"/>
    </xf>
    <xf numFmtId="165" fontId="0" fillId="0" borderId="0" xfId="0" applyNumberFormat="1" applyAlignment="1" applyProtection="1">
      <alignment horizontal="left"/>
    </xf>
    <xf numFmtId="164" fontId="0" fillId="0" borderId="0" xfId="0" applyNumberFormat="1" applyProtection="1"/>
    <xf numFmtId="164" fontId="0" fillId="0" borderId="0" xfId="0" applyNumberFormat="1" applyAlignment="1" applyProtection="1">
      <alignment horizontal="left"/>
    </xf>
    <xf numFmtId="166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165" fontId="0" fillId="0" borderId="0" xfId="0" applyNumberFormat="1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/>
    <xf numFmtId="16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165" fontId="2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left"/>
    </xf>
    <xf numFmtId="167" fontId="2" fillId="0" borderId="0" xfId="0" applyNumberFormat="1" applyFont="1" applyAlignment="1" applyProtection="1">
      <alignment horizontal="left"/>
    </xf>
    <xf numFmtId="167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7" fontId="0" fillId="0" borderId="0" xfId="0" applyNumberFormat="1" applyAlignment="1" applyProtection="1">
      <alignment horizontal="left"/>
    </xf>
    <xf numFmtId="1" fontId="2" fillId="0" borderId="0" xfId="0" applyNumberFormat="1" applyFont="1" applyAlignment="1" applyProtection="1">
      <alignment horizontal="center"/>
    </xf>
    <xf numFmtId="165" fontId="0" fillId="0" borderId="0" xfId="0" applyNumberFormat="1" applyProtection="1"/>
    <xf numFmtId="167" fontId="0" fillId="0" borderId="0" xfId="0" applyNumberFormat="1" applyProtection="1"/>
    <xf numFmtId="168" fontId="0" fillId="0" borderId="0" xfId="0" applyNumberFormat="1" applyProtection="1"/>
    <xf numFmtId="2" fontId="0" fillId="0" borderId="0" xfId="0" applyNumberFormat="1" applyProtection="1"/>
    <xf numFmtId="1" fontId="0" fillId="0" borderId="0" xfId="0" applyNumberFormat="1" applyProtection="1"/>
    <xf numFmtId="169" fontId="0" fillId="0" borderId="0" xfId="0" applyNumberFormat="1" applyProtection="1"/>
    <xf numFmtId="4" fontId="0" fillId="0" borderId="0" xfId="0" applyNumberFormat="1" applyProtection="1"/>
    <xf numFmtId="166" fontId="0" fillId="0" borderId="0" xfId="0" applyNumberFormat="1" applyProtection="1"/>
    <xf numFmtId="168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9" fontId="1" fillId="0" borderId="0" xfId="0" applyNumberFormat="1" applyFont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 applyProtection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center"/>
    </xf>
    <xf numFmtId="2" fontId="0" fillId="0" borderId="0" xfId="0" applyNumberFormat="1"/>
    <xf numFmtId="1" fontId="0" fillId="0" borderId="0" xfId="0" applyNumberFormat="1"/>
    <xf numFmtId="1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 applyProtection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8"/>
  <sheetViews>
    <sheetView tabSelected="1" topLeftCell="A6" zoomScaleNormal="100" workbookViewId="0">
      <pane xSplit="1" ySplit="8" topLeftCell="B120" activePane="bottomRight" state="frozen"/>
      <selection activeCell="A6" sqref="A6"/>
      <selection pane="topRight" activeCell="B6" sqref="B6"/>
      <selection pane="bottomLeft" activeCell="A9" sqref="A9"/>
      <selection pane="bottomRight" activeCell="B127" sqref="B127"/>
    </sheetView>
  </sheetViews>
  <sheetFormatPr defaultRowHeight="15" x14ac:dyDescent="0.25"/>
  <sheetData>
    <row r="1" spans="1:18" x14ac:dyDescent="0.25">
      <c r="A1" s="59" t="s">
        <v>91</v>
      </c>
      <c r="B1" s="59"/>
      <c r="C1" s="59"/>
      <c r="D1" s="59"/>
      <c r="E1" s="59"/>
      <c r="F1" s="59"/>
      <c r="G1" s="1" t="s">
        <v>0</v>
      </c>
      <c r="H1" s="2" t="s">
        <v>1</v>
      </c>
      <c r="I1" s="3" t="s">
        <v>2</v>
      </c>
      <c r="M1" s="4"/>
    </row>
    <row r="2" spans="1:18" x14ac:dyDescent="0.25">
      <c r="A2" s="5"/>
      <c r="B2" s="5"/>
      <c r="C2" s="6"/>
      <c r="D2" s="5"/>
      <c r="E2" s="5"/>
      <c r="F2" s="7"/>
      <c r="G2" s="8"/>
      <c r="H2" s="4"/>
      <c r="M2" s="4"/>
    </row>
    <row r="3" spans="1:18" x14ac:dyDescent="0.25">
      <c r="C3" s="56" t="s">
        <v>171</v>
      </c>
      <c r="D3" s="56"/>
      <c r="E3" s="56"/>
      <c r="F3" s="56"/>
      <c r="G3" s="56"/>
      <c r="H3" s="56"/>
    </row>
    <row r="4" spans="1:18" x14ac:dyDescent="0.25">
      <c r="B4" s="5" t="s">
        <v>3</v>
      </c>
      <c r="C4" s="11" t="s">
        <v>4</v>
      </c>
      <c r="D4" s="5" t="s">
        <v>5</v>
      </c>
      <c r="E4" s="5" t="s">
        <v>6</v>
      </c>
      <c r="F4" s="12" t="s">
        <v>7</v>
      </c>
      <c r="G4" s="8" t="s">
        <v>8</v>
      </c>
      <c r="H4" s="5" t="s">
        <v>9</v>
      </c>
      <c r="I4" s="4"/>
      <c r="J4" s="57" t="s">
        <v>10</v>
      </c>
      <c r="K4" s="57"/>
      <c r="L4" s="57"/>
      <c r="M4" s="57"/>
    </row>
    <row r="5" spans="1:18" x14ac:dyDescent="0.25">
      <c r="C5" s="11" t="s">
        <v>11</v>
      </c>
      <c r="D5" s="5" t="s">
        <v>12</v>
      </c>
      <c r="E5" s="5" t="s">
        <v>13</v>
      </c>
      <c r="F5" s="8" t="s">
        <v>14</v>
      </c>
      <c r="G5" s="8" t="s">
        <v>15</v>
      </c>
    </row>
    <row r="6" spans="1:18" x14ac:dyDescent="0.25">
      <c r="A6" s="60" t="s">
        <v>179</v>
      </c>
      <c r="B6" s="60"/>
      <c r="C6" s="60"/>
      <c r="D6" s="60"/>
      <c r="E6" s="5"/>
      <c r="F6" s="8"/>
      <c r="G6" s="8"/>
    </row>
    <row r="7" spans="1:18" x14ac:dyDescent="0.25">
      <c r="A7" s="54"/>
      <c r="B7" s="54"/>
      <c r="C7" s="54"/>
      <c r="D7" s="54"/>
      <c r="E7" s="5"/>
      <c r="G7" s="56" t="s">
        <v>171</v>
      </c>
      <c r="H7" s="56"/>
      <c r="I7" s="56"/>
      <c r="J7" s="56"/>
      <c r="K7" s="56"/>
      <c r="L7" s="56"/>
    </row>
    <row r="8" spans="1:18" x14ac:dyDescent="0.25">
      <c r="A8" s="60" t="s">
        <v>183</v>
      </c>
      <c r="B8" s="60"/>
      <c r="C8" s="60"/>
      <c r="D8" s="60"/>
      <c r="E8" s="5"/>
      <c r="F8" s="5" t="s">
        <v>3</v>
      </c>
      <c r="G8" s="11" t="s">
        <v>4</v>
      </c>
      <c r="H8" s="5" t="s">
        <v>5</v>
      </c>
      <c r="I8" s="5" t="s">
        <v>6</v>
      </c>
      <c r="J8" s="12" t="s">
        <v>184</v>
      </c>
      <c r="K8" s="8" t="s">
        <v>8</v>
      </c>
      <c r="L8" s="5" t="s">
        <v>9</v>
      </c>
      <c r="M8" s="4"/>
    </row>
    <row r="9" spans="1:18" x14ac:dyDescent="0.25">
      <c r="A9" s="54"/>
      <c r="B9" s="54"/>
      <c r="C9" s="54"/>
      <c r="D9" s="54"/>
      <c r="E9" s="5"/>
      <c r="G9" s="11" t="s">
        <v>11</v>
      </c>
      <c r="H9" s="5" t="s">
        <v>12</v>
      </c>
      <c r="I9" s="5" t="s">
        <v>13</v>
      </c>
      <c r="J9" s="8" t="s">
        <v>14</v>
      </c>
      <c r="K9" s="8" t="s">
        <v>15</v>
      </c>
      <c r="O9" s="57"/>
      <c r="P9" s="57"/>
      <c r="Q9" s="57"/>
      <c r="R9" s="57"/>
    </row>
    <row r="10" spans="1:18" x14ac:dyDescent="0.25">
      <c r="A10" s="54"/>
      <c r="B10" s="54"/>
      <c r="C10" s="54"/>
      <c r="D10" s="54"/>
      <c r="E10" s="5"/>
      <c r="F10" s="8"/>
      <c r="G10" s="8"/>
      <c r="J10" s="58" t="s">
        <v>10</v>
      </c>
      <c r="K10" s="58"/>
      <c r="L10" s="58"/>
      <c r="M10" s="58"/>
    </row>
    <row r="11" spans="1:18" x14ac:dyDescent="0.25">
      <c r="L11" s="18" t="s">
        <v>32</v>
      </c>
      <c r="M11" s="14" t="s">
        <v>33</v>
      </c>
      <c r="N11" s="47" t="s">
        <v>20</v>
      </c>
      <c r="O11" s="18"/>
    </row>
    <row r="12" spans="1:18" x14ac:dyDescent="0.25">
      <c r="A12" s="14" t="s">
        <v>42</v>
      </c>
      <c r="B12" s="14" t="s">
        <v>43</v>
      </c>
      <c r="C12" s="22" t="s">
        <v>44</v>
      </c>
      <c r="D12" s="14" t="s">
        <v>45</v>
      </c>
      <c r="E12" s="14" t="s">
        <v>46</v>
      </c>
      <c r="F12" s="23" t="s">
        <v>47</v>
      </c>
      <c r="G12" s="3" t="s">
        <v>185</v>
      </c>
      <c r="H12" s="14" t="s">
        <v>49</v>
      </c>
      <c r="I12" s="23" t="s">
        <v>50</v>
      </c>
      <c r="J12" s="24" t="s">
        <v>51</v>
      </c>
      <c r="K12" s="25" t="s">
        <v>52</v>
      </c>
      <c r="L12" s="25" t="s">
        <v>53</v>
      </c>
      <c r="M12" s="14" t="s">
        <v>54</v>
      </c>
      <c r="N12" s="47" t="s">
        <v>36</v>
      </c>
      <c r="O12" s="27" t="s">
        <v>37</v>
      </c>
    </row>
    <row r="13" spans="1:18" x14ac:dyDescent="0.25">
      <c r="A13" s="15"/>
      <c r="B13" s="14" t="s">
        <v>70</v>
      </c>
      <c r="C13" s="22" t="s">
        <v>70</v>
      </c>
      <c r="D13" s="14" t="s">
        <v>71</v>
      </c>
      <c r="E13" s="14" t="s">
        <v>72</v>
      </c>
      <c r="F13" s="23" t="s">
        <v>71</v>
      </c>
      <c r="G13" s="3" t="s">
        <v>72</v>
      </c>
      <c r="H13" s="14" t="s">
        <v>70</v>
      </c>
      <c r="I13" s="15"/>
      <c r="J13" s="24" t="s">
        <v>73</v>
      </c>
      <c r="K13" s="25"/>
      <c r="L13" s="25" t="s">
        <v>74</v>
      </c>
      <c r="M13" s="14" t="s">
        <v>75</v>
      </c>
      <c r="N13" s="47" t="s">
        <v>177</v>
      </c>
      <c r="O13" s="47" t="s">
        <v>59</v>
      </c>
    </row>
    <row r="14" spans="1:18" x14ac:dyDescent="0.25">
      <c r="A14" s="47" t="s">
        <v>90</v>
      </c>
      <c r="B14" s="47">
        <v>1970</v>
      </c>
      <c r="C14" s="29" t="s">
        <v>180</v>
      </c>
      <c r="D14" s="13"/>
      <c r="E14" s="4"/>
      <c r="F14" s="48" t="s">
        <v>155</v>
      </c>
      <c r="M14" s="4"/>
      <c r="N14" s="47"/>
      <c r="O14" s="18"/>
    </row>
    <row r="15" spans="1:18" x14ac:dyDescent="0.25">
      <c r="A15">
        <v>1</v>
      </c>
      <c r="B15">
        <v>218.25</v>
      </c>
      <c r="C15">
        <v>6.05</v>
      </c>
      <c r="D15" s="4">
        <v>308</v>
      </c>
      <c r="E15" s="4">
        <v>200</v>
      </c>
      <c r="F15" s="38">
        <v>32.08</v>
      </c>
      <c r="G15" s="7">
        <f>22*((F15+8)/10)^0.3</f>
        <v>33.365757932536809</v>
      </c>
      <c r="H15">
        <v>4365</v>
      </c>
      <c r="I15" s="7">
        <f>(H15/B15)</f>
        <v>20</v>
      </c>
      <c r="J15" s="31">
        <v>0.8420897666202023</v>
      </c>
      <c r="K15" s="32">
        <f>B15/C15</f>
        <v>36.074380165289256</v>
      </c>
      <c r="L15" s="33">
        <f>K15/(90*235/D15)</f>
        <v>0.52533849129593801</v>
      </c>
      <c r="M15">
        <v>1750</v>
      </c>
      <c r="N15" s="51">
        <v>1782.8141086589933</v>
      </c>
      <c r="O15" s="50">
        <v>0.98159420631707051</v>
      </c>
    </row>
    <row r="16" spans="1:18" x14ac:dyDescent="0.25">
      <c r="A16">
        <v>2</v>
      </c>
      <c r="B16">
        <v>218.25</v>
      </c>
      <c r="C16">
        <v>6.45</v>
      </c>
      <c r="D16" s="4">
        <v>308</v>
      </c>
      <c r="E16" s="4">
        <v>200</v>
      </c>
      <c r="F16" s="38">
        <v>34.4</v>
      </c>
      <c r="G16" s="7">
        <f t="shared" ref="G16:G89" si="0">22*((F16+8)/10)^0.3</f>
        <v>33.933795463795462</v>
      </c>
      <c r="H16">
        <v>3285</v>
      </c>
      <c r="I16" s="7">
        <f t="shared" ref="I16:I38" si="1">(H16/B16)</f>
        <v>15.051546391752577</v>
      </c>
      <c r="J16" s="31">
        <v>0.63985145900206308</v>
      </c>
      <c r="K16" s="32">
        <f t="shared" ref="K16:K38" si="2">B16/C16</f>
        <v>33.837209302325583</v>
      </c>
      <c r="L16" s="33">
        <f t="shared" ref="L16:L38" si="3">K16/(90*235/D16)</f>
        <v>0.49275936005277915</v>
      </c>
      <c r="M16" s="4">
        <v>2105</v>
      </c>
      <c r="N16" s="51">
        <v>2151.6306665357383</v>
      </c>
      <c r="O16" s="50">
        <v>0.97832775519470694</v>
      </c>
    </row>
    <row r="17" spans="1:15" x14ac:dyDescent="0.25">
      <c r="A17">
        <v>3</v>
      </c>
      <c r="B17">
        <v>218.25</v>
      </c>
      <c r="C17">
        <v>6.3</v>
      </c>
      <c r="D17" s="4">
        <v>308</v>
      </c>
      <c r="E17" s="4">
        <v>200</v>
      </c>
      <c r="F17" s="38">
        <v>30.240000000000002</v>
      </c>
      <c r="G17" s="7">
        <f t="shared" si="0"/>
        <v>32.898647645123965</v>
      </c>
      <c r="H17">
        <v>2204</v>
      </c>
      <c r="I17" s="7">
        <f t="shared" si="1"/>
        <v>10.098510882016036</v>
      </c>
      <c r="J17" s="31">
        <v>0.41936190235774812</v>
      </c>
      <c r="K17" s="32">
        <f t="shared" si="2"/>
        <v>34.642857142857146</v>
      </c>
      <c r="L17" s="33">
        <f t="shared" si="3"/>
        <v>0.50449172576832146</v>
      </c>
      <c r="M17" s="4">
        <v>2460</v>
      </c>
      <c r="N17" s="51">
        <v>2164.0288143093817</v>
      </c>
      <c r="O17" s="50">
        <v>1.1367685974112471</v>
      </c>
    </row>
    <row r="18" spans="1:15" x14ac:dyDescent="0.25">
      <c r="A18">
        <v>4</v>
      </c>
      <c r="B18">
        <v>218.25</v>
      </c>
      <c r="C18">
        <v>6.5</v>
      </c>
      <c r="D18" s="4">
        <v>308</v>
      </c>
      <c r="E18" s="4">
        <v>200</v>
      </c>
      <c r="F18" s="38">
        <v>30.240000000000002</v>
      </c>
      <c r="G18" s="7">
        <f t="shared" si="0"/>
        <v>32.898647645123965</v>
      </c>
      <c r="H18">
        <v>943</v>
      </c>
      <c r="I18" s="7">
        <f t="shared" si="1"/>
        <v>4.3207331042382586</v>
      </c>
      <c r="J18" s="31">
        <v>0.17911778499820946</v>
      </c>
      <c r="K18" s="32">
        <f t="shared" si="2"/>
        <v>33.57692307692308</v>
      </c>
      <c r="L18" s="33">
        <f t="shared" si="3"/>
        <v>0.48896890343698857</v>
      </c>
      <c r="M18" s="4">
        <v>2810</v>
      </c>
      <c r="N18" s="51">
        <v>2766.5592739340746</v>
      </c>
      <c r="O18" s="50">
        <v>1.0157020767547671</v>
      </c>
    </row>
    <row r="19" spans="1:15" x14ac:dyDescent="0.25">
      <c r="A19">
        <v>5</v>
      </c>
      <c r="B19">
        <v>218.5</v>
      </c>
      <c r="C19">
        <v>6.375</v>
      </c>
      <c r="D19" s="4">
        <v>308</v>
      </c>
      <c r="E19" s="4">
        <v>200</v>
      </c>
      <c r="F19" s="38">
        <v>30.240000000000002</v>
      </c>
      <c r="G19" s="7">
        <f t="shared" si="0"/>
        <v>32.898647645123965</v>
      </c>
      <c r="H19">
        <v>941.5</v>
      </c>
      <c r="I19" s="7">
        <f t="shared" si="1"/>
        <v>4.3089244851258579</v>
      </c>
      <c r="J19" s="31">
        <v>0.17883051689586973</v>
      </c>
      <c r="K19" s="32">
        <f t="shared" si="2"/>
        <v>34.274509803921568</v>
      </c>
      <c r="L19" s="33">
        <f t="shared" si="3"/>
        <v>0.49912761322022892</v>
      </c>
      <c r="M19" s="4">
        <v>2800</v>
      </c>
      <c r="N19" s="51">
        <v>2742.6824852735881</v>
      </c>
      <c r="O19" s="50">
        <v>1.0208983413261177</v>
      </c>
    </row>
    <row r="20" spans="1:15" x14ac:dyDescent="0.25">
      <c r="A20">
        <v>6</v>
      </c>
      <c r="B20">
        <v>219.25</v>
      </c>
      <c r="C20">
        <v>6.05</v>
      </c>
      <c r="D20" s="4">
        <v>308</v>
      </c>
      <c r="E20" s="4">
        <v>200</v>
      </c>
      <c r="F20" s="38">
        <v>30.240000000000002</v>
      </c>
      <c r="G20" s="7">
        <f t="shared" si="0"/>
        <v>32.898647645123965</v>
      </c>
      <c r="H20">
        <v>941.5</v>
      </c>
      <c r="I20" s="7">
        <f t="shared" si="1"/>
        <v>4.2941847206385404</v>
      </c>
      <c r="J20" s="31">
        <v>0.17878387324020317</v>
      </c>
      <c r="K20" s="32">
        <f t="shared" si="2"/>
        <v>36.239669421487605</v>
      </c>
      <c r="L20" s="33">
        <f t="shared" si="3"/>
        <v>0.52774554051149791</v>
      </c>
      <c r="M20" s="4">
        <v>2860</v>
      </c>
      <c r="N20" s="51">
        <v>2679.4842940526569</v>
      </c>
      <c r="O20" s="50">
        <v>1.0673695704610073</v>
      </c>
    </row>
    <row r="21" spans="1:15" x14ac:dyDescent="0.25">
      <c r="A21">
        <v>8.1</v>
      </c>
      <c r="B21">
        <v>95</v>
      </c>
      <c r="C21">
        <v>3.8</v>
      </c>
      <c r="D21" s="4">
        <v>287</v>
      </c>
      <c r="E21" s="4">
        <v>200</v>
      </c>
      <c r="F21" s="38">
        <v>32.08</v>
      </c>
      <c r="G21" s="7">
        <f t="shared" si="0"/>
        <v>33.365757932536809</v>
      </c>
      <c r="H21">
        <v>4318</v>
      </c>
      <c r="I21" s="7">
        <f t="shared" si="1"/>
        <v>45.452631578947368</v>
      </c>
      <c r="J21" s="31">
        <v>1.8345829624387213</v>
      </c>
      <c r="K21" s="32">
        <f t="shared" si="2"/>
        <v>25</v>
      </c>
      <c r="L21" s="33">
        <f t="shared" si="3"/>
        <v>0.33924349881796689</v>
      </c>
      <c r="M21" s="4">
        <v>206</v>
      </c>
      <c r="N21" s="51">
        <v>131.82833697051339</v>
      </c>
      <c r="O21" s="50">
        <v>1.5626382364671483</v>
      </c>
    </row>
    <row r="22" spans="1:15" x14ac:dyDescent="0.25">
      <c r="A22">
        <v>8.1999999999999993</v>
      </c>
      <c r="B22">
        <v>95.25</v>
      </c>
      <c r="C22">
        <v>3.7</v>
      </c>
      <c r="D22" s="4">
        <v>287</v>
      </c>
      <c r="E22" s="4">
        <v>200</v>
      </c>
      <c r="F22" s="38">
        <v>32.08</v>
      </c>
      <c r="G22" s="7">
        <f t="shared" si="0"/>
        <v>33.365757932536809</v>
      </c>
      <c r="H22">
        <v>4320</v>
      </c>
      <c r="I22" s="7">
        <f t="shared" si="1"/>
        <v>45.354330708661415</v>
      </c>
      <c r="J22" s="31">
        <v>1.8335340121799031</v>
      </c>
      <c r="K22" s="32">
        <f t="shared" si="2"/>
        <v>25.743243243243242</v>
      </c>
      <c r="L22" s="33">
        <f t="shared" si="3"/>
        <v>0.34932911635039293</v>
      </c>
      <c r="M22" s="4">
        <v>158</v>
      </c>
      <c r="N22" s="51">
        <v>130.64068621007593</v>
      </c>
      <c r="O22" s="50">
        <v>1.2094241433019504</v>
      </c>
    </row>
    <row r="23" spans="1:15" x14ac:dyDescent="0.25">
      <c r="A23">
        <v>8.3000000000000007</v>
      </c>
      <c r="B23">
        <v>95.5</v>
      </c>
      <c r="C23">
        <v>3.625</v>
      </c>
      <c r="D23" s="4">
        <v>287</v>
      </c>
      <c r="E23" s="4">
        <v>200</v>
      </c>
      <c r="F23" s="38">
        <v>32.08</v>
      </c>
      <c r="G23" s="7">
        <f t="shared" si="0"/>
        <v>33.365757932536809</v>
      </c>
      <c r="H23">
        <v>4320</v>
      </c>
      <c r="I23" s="7">
        <f t="shared" si="1"/>
        <v>45.235602094240839</v>
      </c>
      <c r="J23" s="31">
        <v>1.8311064095539566</v>
      </c>
      <c r="K23" s="32">
        <f t="shared" si="2"/>
        <v>26.344827586206897</v>
      </c>
      <c r="L23" s="33">
        <f t="shared" si="3"/>
        <v>0.35749245944403685</v>
      </c>
      <c r="M23" s="4">
        <v>143</v>
      </c>
      <c r="N23" s="51">
        <v>130.07660934436427</v>
      </c>
      <c r="O23" s="50">
        <v>1.0993521488665376</v>
      </c>
    </row>
    <row r="24" spans="1:15" x14ac:dyDescent="0.25">
      <c r="A24">
        <v>9.1</v>
      </c>
      <c r="B24">
        <v>95.25</v>
      </c>
      <c r="C24">
        <v>3.7749999999999999</v>
      </c>
      <c r="D24" s="4">
        <v>287</v>
      </c>
      <c r="E24" s="4">
        <v>200</v>
      </c>
      <c r="F24" s="38">
        <v>34.4</v>
      </c>
      <c r="G24" s="7">
        <f t="shared" si="0"/>
        <v>33.933795463795462</v>
      </c>
      <c r="H24">
        <v>2844</v>
      </c>
      <c r="I24" s="7">
        <f t="shared" si="1"/>
        <v>29.858267716535433</v>
      </c>
      <c r="J24" s="31">
        <v>1.220271516691626</v>
      </c>
      <c r="K24" s="32">
        <f t="shared" si="2"/>
        <v>25.231788079470199</v>
      </c>
      <c r="L24" s="33">
        <f t="shared" si="3"/>
        <v>0.34238880278051759</v>
      </c>
      <c r="M24" s="4">
        <v>285</v>
      </c>
      <c r="N24" s="51">
        <v>268.5776567671748</v>
      </c>
      <c r="O24" s="50">
        <v>1.0611456047033034</v>
      </c>
    </row>
    <row r="25" spans="1:15" x14ac:dyDescent="0.25">
      <c r="A25">
        <v>9.1999999999999993</v>
      </c>
      <c r="B25">
        <v>95.25</v>
      </c>
      <c r="C25">
        <v>3.7</v>
      </c>
      <c r="D25" s="4">
        <v>287</v>
      </c>
      <c r="E25" s="4">
        <v>200</v>
      </c>
      <c r="F25" s="38">
        <v>34.4</v>
      </c>
      <c r="G25" s="7">
        <f t="shared" si="0"/>
        <v>33.933795463795462</v>
      </c>
      <c r="H25">
        <v>2844</v>
      </c>
      <c r="I25" s="7">
        <f t="shared" si="1"/>
        <v>29.858267716535433</v>
      </c>
      <c r="J25" s="31">
        <v>1.2218012411057373</v>
      </c>
      <c r="K25" s="32">
        <f t="shared" si="2"/>
        <v>25.743243243243242</v>
      </c>
      <c r="L25" s="33">
        <f t="shared" si="3"/>
        <v>0.34932911635039293</v>
      </c>
      <c r="M25" s="4">
        <v>287</v>
      </c>
      <c r="N25" s="51">
        <v>265.38987029894679</v>
      </c>
      <c r="O25" s="50">
        <v>1.081427861872462</v>
      </c>
    </row>
    <row r="26" spans="1:15" x14ac:dyDescent="0.25">
      <c r="A26">
        <v>9.3000000000000007</v>
      </c>
      <c r="B26">
        <v>95.5</v>
      </c>
      <c r="C26">
        <v>3.8250000000000002</v>
      </c>
      <c r="D26" s="4">
        <v>287</v>
      </c>
      <c r="E26" s="4">
        <v>200</v>
      </c>
      <c r="F26" s="38">
        <v>34.4</v>
      </c>
      <c r="G26" s="7">
        <f t="shared" si="0"/>
        <v>33.933795463795462</v>
      </c>
      <c r="H26">
        <v>2844</v>
      </c>
      <c r="I26" s="7">
        <f t="shared" si="1"/>
        <v>29.780104712041886</v>
      </c>
      <c r="J26" s="31">
        <v>1.2162900144120266</v>
      </c>
      <c r="K26" s="32">
        <f t="shared" si="2"/>
        <v>24.967320261437909</v>
      </c>
      <c r="L26" s="33">
        <f t="shared" si="3"/>
        <v>0.33880004326395646</v>
      </c>
      <c r="M26" s="4">
        <v>297</v>
      </c>
      <c r="N26" s="51">
        <v>272.7289919910699</v>
      </c>
      <c r="O26" s="50">
        <v>1.0889931350229345</v>
      </c>
    </row>
    <row r="27" spans="1:15" x14ac:dyDescent="0.25">
      <c r="A27">
        <v>10.1</v>
      </c>
      <c r="B27">
        <v>95.5</v>
      </c>
      <c r="C27">
        <v>3.7250000000000001</v>
      </c>
      <c r="D27" s="4">
        <v>287</v>
      </c>
      <c r="E27" s="4">
        <v>200</v>
      </c>
      <c r="F27" s="38">
        <v>30.240000000000002</v>
      </c>
      <c r="G27" s="7">
        <f t="shared" si="0"/>
        <v>32.898647645123965</v>
      </c>
      <c r="H27">
        <v>1942.5</v>
      </c>
      <c r="I27" s="7">
        <f t="shared" si="1"/>
        <v>20.340314136125656</v>
      </c>
      <c r="J27" s="31">
        <v>0.81407963423078633</v>
      </c>
      <c r="K27" s="32">
        <f t="shared" si="2"/>
        <v>25.63758389261745</v>
      </c>
      <c r="L27" s="33">
        <f t="shared" si="3"/>
        <v>0.3478953464388278</v>
      </c>
      <c r="M27" s="4">
        <v>370</v>
      </c>
      <c r="N27" s="51">
        <v>387.76835420829849</v>
      </c>
      <c r="O27" s="50">
        <v>0.95417791571832644</v>
      </c>
    </row>
    <row r="28" spans="1:15" x14ac:dyDescent="0.25">
      <c r="A28">
        <v>10.199999999999999</v>
      </c>
      <c r="B28">
        <v>95.25</v>
      </c>
      <c r="C28">
        <v>3.7749999999999999</v>
      </c>
      <c r="D28" s="4">
        <v>287</v>
      </c>
      <c r="E28" s="4">
        <v>200</v>
      </c>
      <c r="F28" s="38">
        <v>30.240000000000002</v>
      </c>
      <c r="G28" s="7">
        <f t="shared" si="0"/>
        <v>32.898647645123965</v>
      </c>
      <c r="H28">
        <v>1942</v>
      </c>
      <c r="I28" s="7">
        <f t="shared" si="1"/>
        <v>20.388451443569554</v>
      </c>
      <c r="J28" s="31">
        <v>0.81538036059468988</v>
      </c>
      <c r="K28" s="32">
        <f t="shared" si="2"/>
        <v>25.231788079470199</v>
      </c>
      <c r="L28" s="33">
        <f t="shared" si="3"/>
        <v>0.34238880278051759</v>
      </c>
      <c r="M28" s="4">
        <v>415</v>
      </c>
      <c r="N28" s="51">
        <v>388.69542468724234</v>
      </c>
      <c r="O28" s="50">
        <v>1.0676740029392504</v>
      </c>
    </row>
    <row r="29" spans="1:15" x14ac:dyDescent="0.25">
      <c r="A29">
        <v>10.3</v>
      </c>
      <c r="B29">
        <v>95.25</v>
      </c>
      <c r="C29">
        <v>3.7749999999999999</v>
      </c>
      <c r="D29" s="4">
        <v>287</v>
      </c>
      <c r="E29" s="4">
        <v>200</v>
      </c>
      <c r="F29" s="38">
        <v>30.240000000000002</v>
      </c>
      <c r="G29" s="7">
        <f t="shared" si="0"/>
        <v>32.898647645123965</v>
      </c>
      <c r="H29">
        <v>1943.25</v>
      </c>
      <c r="I29" s="7">
        <f t="shared" si="1"/>
        <v>20.401574803149607</v>
      </c>
      <c r="J29" s="31">
        <v>0.81590519347354851</v>
      </c>
      <c r="K29" s="32">
        <f t="shared" si="2"/>
        <v>25.231788079470199</v>
      </c>
      <c r="L29" s="33">
        <f t="shared" si="3"/>
        <v>0.34238880278051759</v>
      </c>
      <c r="M29" s="4">
        <v>415</v>
      </c>
      <c r="N29" s="51">
        <v>388.54323805436076</v>
      </c>
      <c r="O29" s="50">
        <v>1.0680921950363158</v>
      </c>
    </row>
    <row r="30" spans="1:15" x14ac:dyDescent="0.25">
      <c r="A30">
        <v>11.1</v>
      </c>
      <c r="B30">
        <v>95.5</v>
      </c>
      <c r="C30">
        <v>3.75</v>
      </c>
      <c r="D30" s="4">
        <v>287</v>
      </c>
      <c r="E30" s="4">
        <v>200</v>
      </c>
      <c r="F30" s="38">
        <v>34.4</v>
      </c>
      <c r="G30" s="7">
        <f t="shared" si="0"/>
        <v>33.933795463795462</v>
      </c>
      <c r="H30">
        <v>1469</v>
      </c>
      <c r="I30" s="7">
        <f t="shared" si="1"/>
        <v>15.38219895287958</v>
      </c>
      <c r="J30" s="31">
        <v>0.62901362355232981</v>
      </c>
      <c r="K30" s="32">
        <f t="shared" si="2"/>
        <v>25.466666666666665</v>
      </c>
      <c r="L30" s="33">
        <f t="shared" si="3"/>
        <v>0.34557604412923559</v>
      </c>
      <c r="M30" s="4">
        <v>453</v>
      </c>
      <c r="N30" s="51">
        <v>456.41205155861832</v>
      </c>
      <c r="O30" s="50">
        <v>0.99252418610120752</v>
      </c>
    </row>
    <row r="31" spans="1:15" x14ac:dyDescent="0.25">
      <c r="A31">
        <v>11.2</v>
      </c>
      <c r="B31">
        <v>95.25</v>
      </c>
      <c r="C31">
        <v>3.7250000000000001</v>
      </c>
      <c r="D31" s="4">
        <v>287</v>
      </c>
      <c r="E31" s="4">
        <v>200</v>
      </c>
      <c r="F31" s="38">
        <v>34.4</v>
      </c>
      <c r="G31" s="7">
        <f t="shared" si="0"/>
        <v>33.933795463795462</v>
      </c>
      <c r="H31">
        <v>1466.75</v>
      </c>
      <c r="I31" s="7">
        <f t="shared" si="1"/>
        <v>15.398950131233596</v>
      </c>
      <c r="J31" s="31">
        <v>0.62985876958045062</v>
      </c>
      <c r="K31" s="32">
        <f t="shared" si="2"/>
        <v>25.570469798657719</v>
      </c>
      <c r="L31" s="33">
        <f t="shared" si="3"/>
        <v>0.3469846256366319</v>
      </c>
      <c r="M31" s="4">
        <v>450</v>
      </c>
      <c r="N31" s="51">
        <v>452.92037875969686</v>
      </c>
      <c r="O31" s="50">
        <v>0.9935521144628241</v>
      </c>
    </row>
    <row r="32" spans="1:15" x14ac:dyDescent="0.25">
      <c r="A32">
        <v>11.3</v>
      </c>
      <c r="B32">
        <v>95</v>
      </c>
      <c r="C32">
        <v>3.7</v>
      </c>
      <c r="D32" s="4">
        <v>287</v>
      </c>
      <c r="E32" s="4">
        <v>200</v>
      </c>
      <c r="F32" s="38">
        <v>34.4</v>
      </c>
      <c r="G32" s="7">
        <f t="shared" si="0"/>
        <v>33.933795463795462</v>
      </c>
      <c r="H32">
        <v>1468</v>
      </c>
      <c r="I32" s="7">
        <f t="shared" si="1"/>
        <v>15.452631578947368</v>
      </c>
      <c r="J32" s="31">
        <v>0.63221745497754689</v>
      </c>
      <c r="K32" s="32">
        <f t="shared" si="2"/>
        <v>25.675675675675674</v>
      </c>
      <c r="L32" s="33">
        <f t="shared" si="3"/>
        <v>0.3484122420292633</v>
      </c>
      <c r="M32" s="4">
        <v>505</v>
      </c>
      <c r="N32" s="51">
        <v>449.12778609098262</v>
      </c>
      <c r="O32" s="50">
        <v>1.1244015971385457</v>
      </c>
    </row>
    <row r="33" spans="1:15" x14ac:dyDescent="0.25">
      <c r="A33">
        <v>12.1</v>
      </c>
      <c r="B33">
        <v>95.5</v>
      </c>
      <c r="C33">
        <v>3.7</v>
      </c>
      <c r="D33" s="4">
        <v>287</v>
      </c>
      <c r="E33" s="4">
        <v>200</v>
      </c>
      <c r="F33" s="38">
        <v>34.4</v>
      </c>
      <c r="G33" s="7">
        <f t="shared" si="0"/>
        <v>33.933795463795462</v>
      </c>
      <c r="H33">
        <v>997.5</v>
      </c>
      <c r="I33" s="7">
        <f t="shared" si="1"/>
        <v>10.445026178010471</v>
      </c>
      <c r="J33" s="31">
        <v>0.42748159322904172</v>
      </c>
      <c r="K33" s="32">
        <f t="shared" si="2"/>
        <v>25.810810810810811</v>
      </c>
      <c r="L33" s="33">
        <f t="shared" si="3"/>
        <v>0.35024599067152257</v>
      </c>
      <c r="M33" s="4">
        <v>535</v>
      </c>
      <c r="N33" s="51">
        <v>483.63717731396963</v>
      </c>
      <c r="O33" s="50">
        <v>1.1062011464281756</v>
      </c>
    </row>
    <row r="34" spans="1:15" x14ac:dyDescent="0.25">
      <c r="A34">
        <v>12.2</v>
      </c>
      <c r="B34">
        <v>95.25</v>
      </c>
      <c r="C34">
        <v>3.55</v>
      </c>
      <c r="D34" s="4">
        <v>287</v>
      </c>
      <c r="E34" s="4">
        <v>200</v>
      </c>
      <c r="F34" s="38">
        <v>34.4</v>
      </c>
      <c r="G34" s="7">
        <f t="shared" si="0"/>
        <v>33.933795463795462</v>
      </c>
      <c r="H34">
        <v>992</v>
      </c>
      <c r="I34" s="7">
        <f t="shared" si="1"/>
        <v>10.414698162729659</v>
      </c>
      <c r="J34" s="31">
        <v>0.42730808393369635</v>
      </c>
      <c r="K34" s="32">
        <f t="shared" si="2"/>
        <v>26.83098591549296</v>
      </c>
      <c r="L34" s="33">
        <f t="shared" si="3"/>
        <v>0.36408950154829689</v>
      </c>
      <c r="M34" s="4">
        <v>517</v>
      </c>
      <c r="N34" s="51">
        <v>472.06889705202695</v>
      </c>
      <c r="O34" s="50">
        <v>1.0951791215827997</v>
      </c>
    </row>
    <row r="35" spans="1:15" x14ac:dyDescent="0.25">
      <c r="A35">
        <v>12.3</v>
      </c>
      <c r="B35">
        <v>95.25</v>
      </c>
      <c r="C35">
        <v>3.6749999999999998</v>
      </c>
      <c r="D35" s="4">
        <v>287</v>
      </c>
      <c r="E35" s="4">
        <v>200</v>
      </c>
      <c r="F35" s="38">
        <v>34.4</v>
      </c>
      <c r="G35" s="7">
        <f t="shared" si="0"/>
        <v>33.933795463795462</v>
      </c>
      <c r="H35">
        <v>995</v>
      </c>
      <c r="I35" s="7">
        <f t="shared" si="1"/>
        <v>10.446194225721785</v>
      </c>
      <c r="J35" s="31">
        <v>0.42764215087185109</v>
      </c>
      <c r="K35" s="32">
        <f t="shared" si="2"/>
        <v>25.918367346938776</v>
      </c>
      <c r="L35" s="33">
        <f t="shared" si="3"/>
        <v>0.35170550489699426</v>
      </c>
      <c r="M35" s="4">
        <v>545</v>
      </c>
      <c r="N35" s="51">
        <v>480.07875228533067</v>
      </c>
      <c r="O35" s="50">
        <v>1.1352304125221604</v>
      </c>
    </row>
    <row r="36" spans="1:15" x14ac:dyDescent="0.25">
      <c r="A36">
        <v>13.1</v>
      </c>
      <c r="B36">
        <v>95.25</v>
      </c>
      <c r="C36">
        <v>3.7250000000000001</v>
      </c>
      <c r="D36" s="4">
        <v>287</v>
      </c>
      <c r="E36" s="4">
        <v>200</v>
      </c>
      <c r="F36" s="38">
        <v>34.4</v>
      </c>
      <c r="G36" s="7">
        <f t="shared" si="0"/>
        <v>33.933795463795462</v>
      </c>
      <c r="H36">
        <v>504</v>
      </c>
      <c r="I36" s="7">
        <f t="shared" si="1"/>
        <v>5.2913385826771657</v>
      </c>
      <c r="J36" s="31">
        <v>0.21643008001946282</v>
      </c>
      <c r="K36" s="32">
        <f t="shared" si="2"/>
        <v>25.570469798657719</v>
      </c>
      <c r="L36" s="33">
        <f t="shared" si="3"/>
        <v>0.3469846256366319</v>
      </c>
      <c r="M36" s="4">
        <v>650</v>
      </c>
      <c r="N36" s="51">
        <v>585.14200724390366</v>
      </c>
      <c r="O36" s="50">
        <v>1.1108414572072616</v>
      </c>
    </row>
    <row r="37" spans="1:15" x14ac:dyDescent="0.25">
      <c r="A37">
        <v>13.2</v>
      </c>
      <c r="B37">
        <v>95.5</v>
      </c>
      <c r="C37">
        <v>3.75</v>
      </c>
      <c r="D37" s="4">
        <v>287</v>
      </c>
      <c r="E37" s="4">
        <v>200</v>
      </c>
      <c r="F37" s="38">
        <v>34.4</v>
      </c>
      <c r="G37" s="7">
        <f t="shared" si="0"/>
        <v>33.933795463795462</v>
      </c>
      <c r="H37">
        <v>503.75</v>
      </c>
      <c r="I37" s="7">
        <f t="shared" si="1"/>
        <v>5.2748691099476437</v>
      </c>
      <c r="J37" s="31">
        <v>0.21570157444825469</v>
      </c>
      <c r="K37" s="32">
        <f t="shared" si="2"/>
        <v>25.466666666666665</v>
      </c>
      <c r="L37" s="33">
        <f t="shared" si="3"/>
        <v>0.34557604412923559</v>
      </c>
      <c r="M37" s="4">
        <v>645</v>
      </c>
      <c r="N37" s="51">
        <v>590.03308878913333</v>
      </c>
      <c r="O37" s="50">
        <v>1.0931590316801891</v>
      </c>
    </row>
    <row r="38" spans="1:15" x14ac:dyDescent="0.25">
      <c r="A38">
        <v>13.3</v>
      </c>
      <c r="B38">
        <v>95.5</v>
      </c>
      <c r="C38">
        <v>3.7250000000000001</v>
      </c>
      <c r="D38" s="4">
        <v>287</v>
      </c>
      <c r="E38" s="4">
        <v>200</v>
      </c>
      <c r="F38" s="38">
        <v>34.4</v>
      </c>
      <c r="G38" s="7">
        <f t="shared" si="0"/>
        <v>33.933795463795462</v>
      </c>
      <c r="H38">
        <v>505</v>
      </c>
      <c r="I38" s="7">
        <f t="shared" si="1"/>
        <v>5.2879581151832458</v>
      </c>
      <c r="J38" s="31">
        <v>0.21632738295806039</v>
      </c>
      <c r="K38" s="32">
        <f t="shared" si="2"/>
        <v>25.63758389261745</v>
      </c>
      <c r="L38" s="33">
        <f t="shared" si="3"/>
        <v>0.3478953464388278</v>
      </c>
      <c r="M38" s="4">
        <v>680</v>
      </c>
      <c r="N38" s="51">
        <v>587.47153114738262</v>
      </c>
      <c r="O38" s="50">
        <v>1.1575028983479443</v>
      </c>
    </row>
    <row r="39" spans="1:15" x14ac:dyDescent="0.25">
      <c r="D39" s="4"/>
      <c r="E39" s="4"/>
      <c r="F39" s="38"/>
      <c r="G39" s="7"/>
      <c r="I39" s="7"/>
      <c r="J39" s="31"/>
      <c r="K39" s="32"/>
      <c r="L39" s="33"/>
      <c r="M39" s="4"/>
      <c r="N39" s="52" t="s">
        <v>168</v>
      </c>
      <c r="O39" s="46">
        <f>AVERAGE(O15:O38)</f>
        <v>1.0917574065360105</v>
      </c>
    </row>
    <row r="40" spans="1:15" x14ac:dyDescent="0.25">
      <c r="A40" s="39" t="s">
        <v>92</v>
      </c>
      <c r="B40" s="40">
        <v>1988</v>
      </c>
      <c r="C40" s="40" t="s">
        <v>181</v>
      </c>
      <c r="F40" s="40" t="s">
        <v>155</v>
      </c>
      <c r="G40" s="7"/>
      <c r="I40" s="7"/>
      <c r="J40" s="31"/>
      <c r="K40" s="32"/>
      <c r="L40" s="33"/>
      <c r="N40" s="52" t="s">
        <v>176</v>
      </c>
      <c r="O40" s="53">
        <f>STDEV(O15:O38)</f>
        <v>0.11842001914851591</v>
      </c>
    </row>
    <row r="41" spans="1:15" x14ac:dyDescent="0.25">
      <c r="A41" t="s">
        <v>93</v>
      </c>
      <c r="B41">
        <v>150</v>
      </c>
      <c r="C41">
        <v>0.7</v>
      </c>
      <c r="D41">
        <v>250</v>
      </c>
      <c r="E41">
        <v>200</v>
      </c>
      <c r="F41">
        <v>22.6</v>
      </c>
      <c r="G41" s="7">
        <f t="shared" si="0"/>
        <v>30.7708227642959</v>
      </c>
      <c r="H41">
        <v>480</v>
      </c>
      <c r="I41" s="7">
        <f t="shared" ref="I41:I49" si="4">(H41/B41)</f>
        <v>3.2</v>
      </c>
      <c r="J41" s="31">
        <v>0.13366050116991715</v>
      </c>
      <c r="K41" s="32">
        <f t="shared" ref="K41:K46" si="5">B41/C41</f>
        <v>214.28571428571431</v>
      </c>
      <c r="L41" s="33">
        <f t="shared" ref="L41:L46" si="6">K41/(90*235/D41)</f>
        <v>2.5329280648429591</v>
      </c>
      <c r="M41">
        <v>547</v>
      </c>
      <c r="N41" s="51">
        <v>514.40088562399626</v>
      </c>
      <c r="O41" s="50">
        <v>1.0633729748277148</v>
      </c>
    </row>
    <row r="42" spans="1:15" x14ac:dyDescent="0.25">
      <c r="A42" t="s">
        <v>94</v>
      </c>
      <c r="B42">
        <v>150</v>
      </c>
      <c r="C42">
        <v>0.7</v>
      </c>
      <c r="D42">
        <v>250</v>
      </c>
      <c r="E42">
        <v>200</v>
      </c>
      <c r="F42">
        <v>22.6</v>
      </c>
      <c r="G42" s="7">
        <f t="shared" si="0"/>
        <v>30.7708227642959</v>
      </c>
      <c r="H42">
        <v>800</v>
      </c>
      <c r="I42" s="7">
        <f t="shared" si="4"/>
        <v>5.333333333333333</v>
      </c>
      <c r="J42" s="31">
        <v>0.22276750194986195</v>
      </c>
      <c r="K42" s="32">
        <f t="shared" si="5"/>
        <v>214.28571428571431</v>
      </c>
      <c r="L42" s="33">
        <f t="shared" si="6"/>
        <v>2.5329280648429591</v>
      </c>
      <c r="M42">
        <v>522</v>
      </c>
      <c r="N42" s="51">
        <v>493.18187416085732</v>
      </c>
      <c r="O42" s="50">
        <v>1.0584330595851204</v>
      </c>
    </row>
    <row r="43" spans="1:15" x14ac:dyDescent="0.25">
      <c r="A43" t="s">
        <v>95</v>
      </c>
      <c r="B43">
        <v>150</v>
      </c>
      <c r="C43">
        <v>1.4</v>
      </c>
      <c r="D43">
        <v>250</v>
      </c>
      <c r="E43">
        <v>200</v>
      </c>
      <c r="F43">
        <v>22.6</v>
      </c>
      <c r="G43" s="7">
        <f t="shared" si="0"/>
        <v>30.7708227642959</v>
      </c>
      <c r="H43">
        <v>800</v>
      </c>
      <c r="I43" s="7">
        <f t="shared" si="4"/>
        <v>5.333333333333333</v>
      </c>
      <c r="J43" s="31">
        <v>0.21329596759109082</v>
      </c>
      <c r="K43" s="32">
        <f t="shared" si="5"/>
        <v>107.14285714285715</v>
      </c>
      <c r="L43" s="33">
        <f t="shared" si="6"/>
        <v>1.2664640324214795</v>
      </c>
      <c r="M43">
        <v>708</v>
      </c>
      <c r="N43" s="51">
        <v>591.69958936269745</v>
      </c>
      <c r="O43" s="50">
        <v>1.1965531373151135</v>
      </c>
    </row>
    <row r="44" spans="1:15" x14ac:dyDescent="0.25">
      <c r="A44" t="s">
        <v>96</v>
      </c>
      <c r="B44">
        <v>150</v>
      </c>
      <c r="C44">
        <v>2.1</v>
      </c>
      <c r="D44">
        <v>250</v>
      </c>
      <c r="E44">
        <v>200</v>
      </c>
      <c r="F44">
        <v>22.6</v>
      </c>
      <c r="G44" s="7">
        <f t="shared" si="0"/>
        <v>30.7708227642959</v>
      </c>
      <c r="H44">
        <v>800</v>
      </c>
      <c r="I44" s="7">
        <f t="shared" si="4"/>
        <v>5.333333333333333</v>
      </c>
      <c r="J44" s="31">
        <v>0.20722059251695876</v>
      </c>
      <c r="K44" s="32">
        <f t="shared" si="5"/>
        <v>71.428571428571431</v>
      </c>
      <c r="L44" s="33">
        <f t="shared" si="6"/>
        <v>0.84430935494765291</v>
      </c>
      <c r="M44">
        <v>800</v>
      </c>
      <c r="N44" s="51">
        <v>689.73499167899695</v>
      </c>
      <c r="O44" s="50">
        <v>1.1598657595326416</v>
      </c>
    </row>
    <row r="45" spans="1:15" x14ac:dyDescent="0.25">
      <c r="A45" t="s">
        <v>97</v>
      </c>
      <c r="B45">
        <v>150</v>
      </c>
      <c r="C45">
        <v>0.7</v>
      </c>
      <c r="D45">
        <v>250</v>
      </c>
      <c r="E45">
        <v>200</v>
      </c>
      <c r="F45">
        <v>33.4</v>
      </c>
      <c r="G45" s="7">
        <f t="shared" si="0"/>
        <v>33.691688999220851</v>
      </c>
      <c r="H45">
        <v>480</v>
      </c>
      <c r="I45" s="7">
        <f t="shared" si="4"/>
        <v>3.2</v>
      </c>
      <c r="J45" s="31">
        <v>0.15284514525479009</v>
      </c>
      <c r="K45" s="32">
        <f t="shared" si="5"/>
        <v>214.28571428571431</v>
      </c>
      <c r="L45" s="33">
        <f t="shared" si="6"/>
        <v>2.5329280648429591</v>
      </c>
      <c r="M45">
        <v>756</v>
      </c>
      <c r="N45" s="51">
        <v>697.21891208209342</v>
      </c>
      <c r="O45" s="50">
        <v>1.0843079367172781</v>
      </c>
    </row>
    <row r="46" spans="1:15" x14ac:dyDescent="0.25">
      <c r="A46" t="s">
        <v>98</v>
      </c>
      <c r="B46">
        <v>150</v>
      </c>
      <c r="C46">
        <v>2.1</v>
      </c>
      <c r="D46">
        <v>250</v>
      </c>
      <c r="E46">
        <v>200</v>
      </c>
      <c r="F46">
        <v>35.299999999999997</v>
      </c>
      <c r="G46" s="7">
        <f t="shared" si="0"/>
        <v>34.148296980115511</v>
      </c>
      <c r="H46">
        <v>800</v>
      </c>
      <c r="I46" s="7">
        <f t="shared" si="4"/>
        <v>5.333333333333333</v>
      </c>
      <c r="J46" s="31">
        <v>0.23450693823259178</v>
      </c>
      <c r="K46" s="32">
        <f t="shared" si="5"/>
        <v>71.428571428571431</v>
      </c>
      <c r="L46" s="33">
        <f t="shared" si="6"/>
        <v>0.84430935494765291</v>
      </c>
      <c r="M46">
        <v>1091</v>
      </c>
      <c r="N46" s="51">
        <v>881.93172149754412</v>
      </c>
      <c r="O46" s="50">
        <v>1.2370572158890625</v>
      </c>
    </row>
    <row r="47" spans="1:15" x14ac:dyDescent="0.25">
      <c r="G47" s="7"/>
      <c r="I47" s="7"/>
      <c r="J47" s="31"/>
      <c r="K47" s="32"/>
      <c r="L47" s="33"/>
      <c r="N47" s="52" t="s">
        <v>162</v>
      </c>
      <c r="O47" s="46">
        <f>AVERAGE(O41:O46)</f>
        <v>1.1332650139778215</v>
      </c>
    </row>
    <row r="48" spans="1:15" x14ac:dyDescent="0.25">
      <c r="A48" s="39" t="s">
        <v>99</v>
      </c>
      <c r="B48" s="40">
        <v>1994</v>
      </c>
      <c r="C48" s="40" t="s">
        <v>169</v>
      </c>
      <c r="G48" s="7"/>
      <c r="I48" s="7"/>
      <c r="J48" s="31"/>
      <c r="K48" s="32"/>
      <c r="L48" s="33"/>
      <c r="N48" s="52" t="s">
        <v>176</v>
      </c>
      <c r="O48" s="53">
        <f>STDEV(O41:O46)</f>
        <v>7.532240217345508E-2</v>
      </c>
    </row>
    <row r="49" spans="1:15" x14ac:dyDescent="0.25">
      <c r="A49" t="s">
        <v>100</v>
      </c>
      <c r="B49">
        <v>323.89999999999998</v>
      </c>
      <c r="C49">
        <v>5.6</v>
      </c>
      <c r="D49">
        <v>478</v>
      </c>
      <c r="E49">
        <v>200</v>
      </c>
      <c r="F49">
        <v>92.3</v>
      </c>
      <c r="G49" s="7">
        <f t="shared" si="0"/>
        <v>43.93523571202428</v>
      </c>
      <c r="H49">
        <v>4000</v>
      </c>
      <c r="I49" s="7">
        <f t="shared" si="4"/>
        <v>12.349490583513431</v>
      </c>
      <c r="J49" s="31">
        <v>0.77425720158117717</v>
      </c>
      <c r="K49" s="32">
        <f t="shared" ref="K49" si="7">B49/C49</f>
        <v>57.839285714285715</v>
      </c>
      <c r="L49" s="33">
        <f t="shared" ref="L49" si="8">K49/(90*235/D49)</f>
        <v>1.3071952043228638</v>
      </c>
      <c r="M49">
        <v>10401</v>
      </c>
      <c r="N49" s="51">
        <v>7910.51249570043</v>
      </c>
      <c r="O49" s="50">
        <v>1.3148326364003868</v>
      </c>
    </row>
    <row r="50" spans="1:15" x14ac:dyDescent="0.25">
      <c r="A50" s="39" t="s">
        <v>101</v>
      </c>
      <c r="B50" s="40">
        <v>1994</v>
      </c>
      <c r="C50" s="40" t="s">
        <v>118</v>
      </c>
      <c r="G50" s="7"/>
      <c r="I50" s="7"/>
      <c r="J50" s="31"/>
      <c r="K50" s="32"/>
      <c r="L50" s="33"/>
      <c r="N50" s="51"/>
      <c r="O50" s="50"/>
    </row>
    <row r="51" spans="1:15" x14ac:dyDescent="0.25">
      <c r="A51">
        <v>1</v>
      </c>
      <c r="B51">
        <v>140</v>
      </c>
      <c r="C51">
        <v>9.2200000000000006</v>
      </c>
      <c r="D51">
        <v>682</v>
      </c>
      <c r="E51">
        <v>200</v>
      </c>
      <c r="F51">
        <v>38.4</v>
      </c>
      <c r="G51" s="7">
        <f t="shared" si="0"/>
        <v>34.864069206067484</v>
      </c>
      <c r="H51">
        <v>914.4</v>
      </c>
      <c r="I51" s="7">
        <f t="shared" ref="I51:I56" si="9">(H51/B51)</f>
        <v>6.5314285714285711</v>
      </c>
      <c r="J51" s="31">
        <v>0.37252083799255031</v>
      </c>
      <c r="K51" s="32">
        <f t="shared" ref="K51:K56" si="10">B51/C51</f>
        <v>15.184381778741864</v>
      </c>
      <c r="L51" s="33">
        <f t="shared" ref="L51:L56" si="11">K51/(90*235/D51)</f>
        <v>0.48963349281805918</v>
      </c>
      <c r="M51">
        <v>3047</v>
      </c>
      <c r="N51" s="51">
        <v>2933.8937700559322</v>
      </c>
      <c r="O51" s="50">
        <v>1.0385515764403124</v>
      </c>
    </row>
    <row r="52" spans="1:15" x14ac:dyDescent="0.25">
      <c r="A52">
        <v>2</v>
      </c>
      <c r="B52">
        <v>140</v>
      </c>
      <c r="C52" s="41">
        <v>9.2200000000000006</v>
      </c>
      <c r="D52">
        <v>682</v>
      </c>
      <c r="E52">
        <v>200</v>
      </c>
      <c r="F52">
        <v>38.4</v>
      </c>
      <c r="G52" s="7">
        <f t="shared" si="0"/>
        <v>34.864069206067484</v>
      </c>
      <c r="H52">
        <v>914.4</v>
      </c>
      <c r="I52" s="7">
        <f t="shared" si="9"/>
        <v>6.5314285714285711</v>
      </c>
      <c r="J52" s="31">
        <v>0.37252083799255031</v>
      </c>
      <c r="K52" s="32">
        <f t="shared" si="10"/>
        <v>15.184381778741864</v>
      </c>
      <c r="L52" s="33">
        <f t="shared" si="11"/>
        <v>0.48963349281805918</v>
      </c>
      <c r="M52">
        <v>2598</v>
      </c>
      <c r="N52" s="51">
        <v>2933.8937700559322</v>
      </c>
      <c r="O52" s="50">
        <v>0.88551263393237012</v>
      </c>
    </row>
    <row r="53" spans="1:15" x14ac:dyDescent="0.25">
      <c r="A53">
        <v>3</v>
      </c>
      <c r="B53">
        <v>140</v>
      </c>
      <c r="C53">
        <v>9.2200000000000006</v>
      </c>
      <c r="D53">
        <v>682</v>
      </c>
      <c r="E53">
        <v>200</v>
      </c>
      <c r="F53">
        <v>38.4</v>
      </c>
      <c r="G53" s="7">
        <f t="shared" si="0"/>
        <v>34.864069206067484</v>
      </c>
      <c r="H53">
        <v>3048</v>
      </c>
      <c r="I53" s="7">
        <f t="shared" si="9"/>
        <v>21.771428571428572</v>
      </c>
      <c r="J53" s="31">
        <v>1.2417361266418343</v>
      </c>
      <c r="K53" s="32">
        <f t="shared" si="10"/>
        <v>15.184381778741864</v>
      </c>
      <c r="L53" s="33">
        <f t="shared" si="11"/>
        <v>0.48963349281805918</v>
      </c>
      <c r="M53">
        <v>2002</v>
      </c>
      <c r="N53" s="51">
        <v>1527.4189321943124</v>
      </c>
      <c r="O53" s="50">
        <v>1.3107078600393525</v>
      </c>
    </row>
    <row r="54" spans="1:15" x14ac:dyDescent="0.25">
      <c r="A54">
        <v>4</v>
      </c>
      <c r="B54">
        <v>178</v>
      </c>
      <c r="C54">
        <v>12.8</v>
      </c>
      <c r="D54">
        <v>594</v>
      </c>
      <c r="E54">
        <v>200</v>
      </c>
      <c r="F54">
        <v>38.4</v>
      </c>
      <c r="G54" s="7">
        <f t="shared" si="0"/>
        <v>34.864069206067484</v>
      </c>
      <c r="H54">
        <v>914.4</v>
      </c>
      <c r="I54" s="7">
        <f t="shared" si="9"/>
        <v>5.1370786516853935</v>
      </c>
      <c r="J54" s="31">
        <v>0.27763712831002796</v>
      </c>
      <c r="K54" s="32">
        <f t="shared" si="10"/>
        <v>13.90625</v>
      </c>
      <c r="L54" s="33">
        <f t="shared" si="11"/>
        <v>0.39055851063829783</v>
      </c>
      <c r="M54">
        <v>5253</v>
      </c>
      <c r="N54" s="51">
        <v>4958.152617705945</v>
      </c>
      <c r="O54" s="50">
        <v>1.0594671856693423</v>
      </c>
    </row>
    <row r="55" spans="1:15" x14ac:dyDescent="0.25">
      <c r="A55">
        <v>5</v>
      </c>
      <c r="B55">
        <v>178</v>
      </c>
      <c r="C55">
        <v>12.8</v>
      </c>
      <c r="D55">
        <v>594</v>
      </c>
      <c r="E55">
        <v>200</v>
      </c>
      <c r="F55">
        <v>38.4</v>
      </c>
      <c r="G55" s="7">
        <f t="shared" si="0"/>
        <v>34.864069206067484</v>
      </c>
      <c r="H55">
        <v>914.4</v>
      </c>
      <c r="I55" s="7">
        <f t="shared" si="9"/>
        <v>5.1370786516853935</v>
      </c>
      <c r="J55" s="31">
        <v>0.27763712831002796</v>
      </c>
      <c r="K55" s="32">
        <f t="shared" si="10"/>
        <v>13.90625</v>
      </c>
      <c r="L55" s="33">
        <f t="shared" si="11"/>
        <v>0.39055851063829783</v>
      </c>
      <c r="M55">
        <v>5524</v>
      </c>
      <c r="N55" s="51">
        <v>4958.152617705945</v>
      </c>
      <c r="O55" s="50">
        <v>1.114124639946211</v>
      </c>
    </row>
    <row r="56" spans="1:15" x14ac:dyDescent="0.25">
      <c r="A56">
        <v>6</v>
      </c>
      <c r="B56">
        <v>178</v>
      </c>
      <c r="C56">
        <v>12.8</v>
      </c>
      <c r="D56">
        <v>594</v>
      </c>
      <c r="E56">
        <v>200</v>
      </c>
      <c r="F56">
        <v>38.4</v>
      </c>
      <c r="G56" s="7">
        <f t="shared" si="0"/>
        <v>34.864069206067484</v>
      </c>
      <c r="H56">
        <v>3048</v>
      </c>
      <c r="I56" s="7">
        <f t="shared" si="9"/>
        <v>17.123595505617978</v>
      </c>
      <c r="J56" s="31">
        <v>0.92545709436675994</v>
      </c>
      <c r="K56" s="32">
        <f t="shared" si="10"/>
        <v>13.90625</v>
      </c>
      <c r="L56" s="33">
        <f t="shared" si="11"/>
        <v>0.39055851063829783</v>
      </c>
      <c r="M56">
        <v>4310</v>
      </c>
      <c r="N56" s="51">
        <v>3331.4001995084573</v>
      </c>
      <c r="O56" s="50">
        <v>1.2937502977384505</v>
      </c>
    </row>
    <row r="57" spans="1:15" x14ac:dyDescent="0.25">
      <c r="G57" s="7"/>
      <c r="I57" s="7"/>
      <c r="J57" s="31"/>
      <c r="K57" s="32"/>
      <c r="L57" s="33"/>
      <c r="N57" s="52" t="s">
        <v>162</v>
      </c>
      <c r="O57" s="46">
        <f>AVERAGE(O51:O56)</f>
        <v>1.1170190322943399</v>
      </c>
    </row>
    <row r="58" spans="1:15" x14ac:dyDescent="0.25">
      <c r="A58" s="39" t="s">
        <v>102</v>
      </c>
      <c r="B58" s="40">
        <v>1995</v>
      </c>
      <c r="C58" s="40" t="s">
        <v>170</v>
      </c>
      <c r="F58" s="40" t="s">
        <v>155</v>
      </c>
      <c r="G58" s="7"/>
      <c r="I58" s="7"/>
      <c r="J58" s="31"/>
      <c r="K58" s="32"/>
      <c r="L58" s="33"/>
      <c r="N58" s="52" t="s">
        <v>176</v>
      </c>
      <c r="O58" s="53">
        <f>STDEV(O51:O56)</f>
        <v>0.16237133296641909</v>
      </c>
    </row>
    <row r="59" spans="1:15" x14ac:dyDescent="0.25">
      <c r="A59" t="s">
        <v>103</v>
      </c>
      <c r="B59">
        <v>165.2</v>
      </c>
      <c r="C59">
        <v>4.5</v>
      </c>
      <c r="D59">
        <v>422</v>
      </c>
      <c r="E59">
        <v>200</v>
      </c>
      <c r="F59">
        <v>40.9</v>
      </c>
      <c r="G59" s="7">
        <f t="shared" si="0"/>
        <v>35.417290900407103</v>
      </c>
      <c r="H59">
        <v>1322</v>
      </c>
      <c r="I59" s="7">
        <f t="shared" ref="I59:I63" si="12">(H59/B59)</f>
        <v>8.0024213075060544</v>
      </c>
      <c r="J59" s="31">
        <v>0.38504344188948292</v>
      </c>
      <c r="K59" s="32">
        <f t="shared" ref="K59:K63" si="13">B59/C59</f>
        <v>36.711111111111109</v>
      </c>
      <c r="L59" s="33">
        <f t="shared" ref="L59:L63" si="14">K59/(90*235/D59)</f>
        <v>0.73248647228789066</v>
      </c>
      <c r="M59">
        <v>1412</v>
      </c>
      <c r="N59" s="51">
        <v>1677.3518667055143</v>
      </c>
      <c r="O59" s="50">
        <v>0.8418030992944302</v>
      </c>
    </row>
    <row r="60" spans="1:15" x14ac:dyDescent="0.25">
      <c r="A60" t="s">
        <v>104</v>
      </c>
      <c r="B60">
        <v>165.2</v>
      </c>
      <c r="C60">
        <v>4.5</v>
      </c>
      <c r="D60">
        <v>422</v>
      </c>
      <c r="E60">
        <v>200</v>
      </c>
      <c r="F60">
        <v>40.9</v>
      </c>
      <c r="G60" s="7">
        <f t="shared" si="0"/>
        <v>35.417290900407103</v>
      </c>
      <c r="H60">
        <v>1982</v>
      </c>
      <c r="I60" s="7">
        <f t="shared" si="12"/>
        <v>11.997578692493947</v>
      </c>
      <c r="J60" s="31">
        <v>0.57727390455745464</v>
      </c>
      <c r="K60" s="32">
        <f t="shared" si="13"/>
        <v>36.711111111111109</v>
      </c>
      <c r="L60" s="33">
        <f t="shared" si="14"/>
        <v>0.73248647228789066</v>
      </c>
      <c r="M60">
        <v>1372</v>
      </c>
      <c r="N60" s="51">
        <v>1565.4382420804</v>
      </c>
      <c r="O60" s="50">
        <v>0.87643189179834469</v>
      </c>
    </row>
    <row r="61" spans="1:15" x14ac:dyDescent="0.25">
      <c r="A61" t="s">
        <v>105</v>
      </c>
      <c r="B61">
        <v>165.2</v>
      </c>
      <c r="C61">
        <v>4.5</v>
      </c>
      <c r="D61">
        <v>422</v>
      </c>
      <c r="E61">
        <v>200</v>
      </c>
      <c r="F61">
        <v>40.9</v>
      </c>
      <c r="G61" s="7">
        <f t="shared" si="0"/>
        <v>35.417290900407103</v>
      </c>
      <c r="H61">
        <v>2974</v>
      </c>
      <c r="I61" s="7">
        <f t="shared" si="12"/>
        <v>18.002421307506054</v>
      </c>
      <c r="J61" s="31">
        <v>0.86620211511295164</v>
      </c>
      <c r="K61" s="32">
        <f t="shared" si="13"/>
        <v>36.711111111111109</v>
      </c>
      <c r="L61" s="33">
        <f t="shared" si="14"/>
        <v>0.73248647228789066</v>
      </c>
      <c r="M61">
        <v>1147</v>
      </c>
      <c r="N61" s="51">
        <v>1316.9088724374276</v>
      </c>
      <c r="O61" s="50">
        <v>0.87097902064935728</v>
      </c>
    </row>
    <row r="62" spans="1:15" x14ac:dyDescent="0.25">
      <c r="A62" t="s">
        <v>106</v>
      </c>
      <c r="B62">
        <v>165.2</v>
      </c>
      <c r="C62">
        <v>4.5</v>
      </c>
      <c r="D62">
        <v>422</v>
      </c>
      <c r="E62">
        <v>200</v>
      </c>
      <c r="F62">
        <v>40.9</v>
      </c>
      <c r="G62" s="7">
        <f t="shared" si="0"/>
        <v>35.417290900407103</v>
      </c>
      <c r="H62">
        <v>3965</v>
      </c>
      <c r="I62" s="7">
        <f t="shared" si="12"/>
        <v>24.001210653753027</v>
      </c>
      <c r="J62" s="31">
        <v>1.1548390673916791</v>
      </c>
      <c r="K62" s="32">
        <f t="shared" si="13"/>
        <v>36.711111111111109</v>
      </c>
      <c r="L62" s="33">
        <f t="shared" si="14"/>
        <v>0.73248647228789066</v>
      </c>
      <c r="M62">
        <v>1019</v>
      </c>
      <c r="N62" s="51">
        <v>974.27192953420172</v>
      </c>
      <c r="O62" s="50">
        <v>1.0459092262744167</v>
      </c>
    </row>
    <row r="63" spans="1:15" x14ac:dyDescent="0.25">
      <c r="A63" t="s">
        <v>107</v>
      </c>
      <c r="B63">
        <v>165.2</v>
      </c>
      <c r="C63">
        <v>4.5</v>
      </c>
      <c r="D63">
        <v>422</v>
      </c>
      <c r="E63">
        <v>200</v>
      </c>
      <c r="F63">
        <v>40.9</v>
      </c>
      <c r="G63" s="7">
        <f t="shared" si="0"/>
        <v>35.417290900407103</v>
      </c>
      <c r="H63">
        <v>4956</v>
      </c>
      <c r="I63" s="7">
        <f t="shared" si="12"/>
        <v>30.000000000000004</v>
      </c>
      <c r="J63" s="31">
        <v>1.4434760196704064</v>
      </c>
      <c r="K63" s="32">
        <f t="shared" si="13"/>
        <v>36.711111111111109</v>
      </c>
      <c r="L63" s="33">
        <f t="shared" si="14"/>
        <v>0.73248647228789066</v>
      </c>
      <c r="M63">
        <v>781</v>
      </c>
      <c r="N63" s="51">
        <v>692.30537849508471</v>
      </c>
      <c r="O63" s="50">
        <v>1.1281148814670736</v>
      </c>
    </row>
    <row r="64" spans="1:15" x14ac:dyDescent="0.25">
      <c r="G64" s="7"/>
      <c r="I64" s="7"/>
      <c r="J64" s="31"/>
      <c r="K64" s="32"/>
      <c r="L64" s="33"/>
      <c r="N64" s="52" t="s">
        <v>163</v>
      </c>
      <c r="O64" s="46">
        <f>AVERAGE(O59:O63)</f>
        <v>0.95264762389672453</v>
      </c>
    </row>
    <row r="65" spans="1:15" x14ac:dyDescent="0.25">
      <c r="G65" s="7"/>
      <c r="I65" s="7"/>
      <c r="J65" s="31"/>
      <c r="K65" s="32"/>
      <c r="L65" s="33"/>
      <c r="N65" s="52" t="s">
        <v>176</v>
      </c>
      <c r="O65" s="53">
        <f>STDEV(O59:O63)</f>
        <v>0.12673948888102202</v>
      </c>
    </row>
    <row r="66" spans="1:15" x14ac:dyDescent="0.25">
      <c r="A66" s="14" t="s">
        <v>42</v>
      </c>
      <c r="B66" s="14" t="s">
        <v>43</v>
      </c>
      <c r="C66" s="22" t="s">
        <v>44</v>
      </c>
      <c r="D66" s="14" t="s">
        <v>45</v>
      </c>
      <c r="E66" s="14" t="s">
        <v>46</v>
      </c>
      <c r="F66" s="23" t="s">
        <v>47</v>
      </c>
      <c r="G66" s="23" t="s">
        <v>48</v>
      </c>
      <c r="H66" s="14" t="s">
        <v>49</v>
      </c>
      <c r="I66" s="23" t="s">
        <v>50</v>
      </c>
      <c r="J66" s="24" t="s">
        <v>51</v>
      </c>
      <c r="K66" s="25" t="s">
        <v>52</v>
      </c>
      <c r="L66" s="25" t="s">
        <v>53</v>
      </c>
      <c r="M66" s="14" t="s">
        <v>54</v>
      </c>
      <c r="N66" s="49" t="s">
        <v>178</v>
      </c>
      <c r="O66" s="27" t="s">
        <v>37</v>
      </c>
    </row>
    <row r="67" spans="1:15" x14ac:dyDescent="0.25">
      <c r="A67" s="15"/>
      <c r="B67" s="14" t="s">
        <v>70</v>
      </c>
      <c r="C67" s="22" t="s">
        <v>70</v>
      </c>
      <c r="D67" s="14" t="s">
        <v>71</v>
      </c>
      <c r="E67" s="14" t="s">
        <v>72</v>
      </c>
      <c r="F67" s="23" t="s">
        <v>71</v>
      </c>
      <c r="G67" s="23" t="s">
        <v>72</v>
      </c>
      <c r="H67" s="14" t="s">
        <v>70</v>
      </c>
      <c r="I67" s="15"/>
      <c r="J67" s="24" t="s">
        <v>73</v>
      </c>
      <c r="K67" s="25"/>
      <c r="L67" s="25" t="s">
        <v>74</v>
      </c>
      <c r="M67" s="14" t="s">
        <v>75</v>
      </c>
      <c r="N67" s="49" t="s">
        <v>177</v>
      </c>
      <c r="O67" s="49" t="s">
        <v>59</v>
      </c>
    </row>
    <row r="68" spans="1:15" x14ac:dyDescent="0.25">
      <c r="A68" s="39" t="s">
        <v>112</v>
      </c>
      <c r="B68" s="40">
        <v>2008</v>
      </c>
      <c r="C68" s="40" t="s">
        <v>156</v>
      </c>
      <c r="G68" s="7"/>
      <c r="I68" s="7"/>
      <c r="J68" s="31"/>
      <c r="K68" s="32"/>
      <c r="L68" s="33"/>
      <c r="N68" s="52"/>
      <c r="O68" s="53"/>
    </row>
    <row r="69" spans="1:15" x14ac:dyDescent="0.25">
      <c r="A69" t="s">
        <v>108</v>
      </c>
      <c r="B69">
        <v>100</v>
      </c>
      <c r="C69">
        <v>1.9</v>
      </c>
      <c r="D69">
        <v>404</v>
      </c>
      <c r="E69">
        <v>200</v>
      </c>
      <c r="F69">
        <v>97.3</v>
      </c>
      <c r="G69" s="7">
        <f t="shared" si="0"/>
        <v>44.58114229886813</v>
      </c>
      <c r="H69">
        <v>900</v>
      </c>
      <c r="I69" s="7">
        <f t="shared" ref="I69:I74" si="15">(H69/B69)</f>
        <v>9</v>
      </c>
      <c r="J69" s="31">
        <v>0.55440883790323348</v>
      </c>
      <c r="K69" s="32">
        <f t="shared" ref="K69:K74" si="16">B69/C69</f>
        <v>52.631578947368425</v>
      </c>
      <c r="L69" s="33">
        <f t="shared" ref="L69:L74" si="17">K69/(90*235/D69)</f>
        <v>1.0053502550703</v>
      </c>
      <c r="M69">
        <v>1065</v>
      </c>
      <c r="N69" s="51">
        <v>855.51859847451112</v>
      </c>
      <c r="O69" s="50">
        <v>1.2448589684654647</v>
      </c>
    </row>
    <row r="70" spans="1:15" x14ac:dyDescent="0.25">
      <c r="A70" t="s">
        <v>109</v>
      </c>
      <c r="B70">
        <v>100</v>
      </c>
      <c r="C70">
        <v>1.9</v>
      </c>
      <c r="D70">
        <v>404</v>
      </c>
      <c r="E70">
        <v>200</v>
      </c>
      <c r="F70">
        <v>97.3</v>
      </c>
      <c r="G70" s="7">
        <f t="shared" si="0"/>
        <v>44.58114229886813</v>
      </c>
      <c r="H70">
        <v>900</v>
      </c>
      <c r="I70" s="7">
        <f t="shared" si="15"/>
        <v>9</v>
      </c>
      <c r="J70" s="31">
        <v>0.55440883790323348</v>
      </c>
      <c r="K70" s="32">
        <f t="shared" si="16"/>
        <v>52.631578947368425</v>
      </c>
      <c r="L70" s="33">
        <f t="shared" si="17"/>
        <v>1.0053502550703</v>
      </c>
      <c r="M70">
        <v>980</v>
      </c>
      <c r="N70" s="51">
        <v>855.51859847451112</v>
      </c>
      <c r="O70" s="50">
        <v>1.1455040273203336</v>
      </c>
    </row>
    <row r="71" spans="1:15" x14ac:dyDescent="0.25">
      <c r="A71" t="s">
        <v>110</v>
      </c>
      <c r="B71">
        <v>100</v>
      </c>
      <c r="C71">
        <v>1.9</v>
      </c>
      <c r="D71">
        <v>404</v>
      </c>
      <c r="E71">
        <v>200</v>
      </c>
      <c r="F71">
        <v>97.3</v>
      </c>
      <c r="G71" s="7">
        <f t="shared" si="0"/>
        <v>44.58114229886813</v>
      </c>
      <c r="H71">
        <v>1500</v>
      </c>
      <c r="I71" s="7">
        <f t="shared" si="15"/>
        <v>15</v>
      </c>
      <c r="J71" s="31">
        <v>0.92401472983872235</v>
      </c>
      <c r="K71" s="32">
        <f t="shared" si="16"/>
        <v>52.631578947368425</v>
      </c>
      <c r="L71" s="33">
        <f t="shared" si="17"/>
        <v>1.0053502550703</v>
      </c>
      <c r="M71">
        <v>907</v>
      </c>
      <c r="N71" s="51">
        <v>677.58664336528716</v>
      </c>
      <c r="O71" s="50">
        <v>1.3385742013675379</v>
      </c>
    </row>
    <row r="72" spans="1:15" x14ac:dyDescent="0.25">
      <c r="A72" t="s">
        <v>111</v>
      </c>
      <c r="B72">
        <v>100</v>
      </c>
      <c r="C72">
        <v>1.9</v>
      </c>
      <c r="D72">
        <v>404</v>
      </c>
      <c r="E72">
        <v>200</v>
      </c>
      <c r="F72">
        <v>97.3</v>
      </c>
      <c r="G72" s="7">
        <f t="shared" si="0"/>
        <v>44.58114229886813</v>
      </c>
      <c r="H72">
        <v>1500</v>
      </c>
      <c r="I72" s="7">
        <f t="shared" si="15"/>
        <v>15</v>
      </c>
      <c r="J72" s="31">
        <v>0.92401472983872235</v>
      </c>
      <c r="K72" s="32">
        <f t="shared" si="16"/>
        <v>52.631578947368425</v>
      </c>
      <c r="L72" s="33">
        <f t="shared" si="17"/>
        <v>1.0053502550703</v>
      </c>
      <c r="M72">
        <v>760</v>
      </c>
      <c r="N72" s="51">
        <v>677.58664336528716</v>
      </c>
      <c r="O72" s="50">
        <v>1.1216277762285876</v>
      </c>
    </row>
    <row r="73" spans="1:15" x14ac:dyDescent="0.25">
      <c r="A73" t="s">
        <v>113</v>
      </c>
      <c r="B73">
        <v>100</v>
      </c>
      <c r="C73">
        <v>1.9</v>
      </c>
      <c r="D73">
        <v>404</v>
      </c>
      <c r="E73">
        <v>200</v>
      </c>
      <c r="F73">
        <v>97.3</v>
      </c>
      <c r="G73" s="7">
        <f t="shared" si="0"/>
        <v>44.58114229886813</v>
      </c>
      <c r="H73">
        <v>3000</v>
      </c>
      <c r="I73" s="7">
        <f t="shared" si="15"/>
        <v>30</v>
      </c>
      <c r="J73" s="31">
        <v>1.8480294596774447</v>
      </c>
      <c r="K73" s="32">
        <f t="shared" si="16"/>
        <v>52.631578947368425</v>
      </c>
      <c r="L73" s="33">
        <f t="shared" si="17"/>
        <v>1.0053502550703</v>
      </c>
      <c r="M73">
        <v>288</v>
      </c>
      <c r="N73" s="51">
        <v>243.15501984996581</v>
      </c>
      <c r="O73" s="50">
        <v>1.1844295880780291</v>
      </c>
    </row>
    <row r="74" spans="1:15" x14ac:dyDescent="0.25">
      <c r="A74" t="s">
        <v>114</v>
      </c>
      <c r="B74">
        <v>100</v>
      </c>
      <c r="C74">
        <v>1.9</v>
      </c>
      <c r="D74">
        <v>404</v>
      </c>
      <c r="E74">
        <v>200</v>
      </c>
      <c r="F74">
        <v>97.3</v>
      </c>
      <c r="G74" s="7">
        <f t="shared" si="0"/>
        <v>44.58114229886813</v>
      </c>
      <c r="H74">
        <v>3000</v>
      </c>
      <c r="I74" s="7">
        <f t="shared" si="15"/>
        <v>30</v>
      </c>
      <c r="J74" s="31">
        <v>1.8480294596774447</v>
      </c>
      <c r="K74" s="32">
        <f t="shared" si="16"/>
        <v>52.631578947368425</v>
      </c>
      <c r="L74" s="33">
        <f t="shared" si="17"/>
        <v>1.0053502550703</v>
      </c>
      <c r="M74">
        <v>317.5</v>
      </c>
      <c r="N74" s="51">
        <v>243.15501984996581</v>
      </c>
      <c r="O74" s="50">
        <v>1.3057513688012994</v>
      </c>
    </row>
    <row r="75" spans="1:15" x14ac:dyDescent="0.25">
      <c r="G75" s="7"/>
      <c r="I75" s="7"/>
      <c r="J75" s="31"/>
      <c r="K75" s="32"/>
      <c r="L75" s="33"/>
      <c r="N75" s="52" t="s">
        <v>162</v>
      </c>
      <c r="O75" s="46">
        <f>AVERAGE(O69:O74)</f>
        <v>1.2234576550435421</v>
      </c>
    </row>
    <row r="76" spans="1:15" x14ac:dyDescent="0.25">
      <c r="A76" s="39" t="s">
        <v>117</v>
      </c>
      <c r="B76" s="40">
        <v>2011</v>
      </c>
      <c r="C76" s="40" t="s">
        <v>157</v>
      </c>
      <c r="G76" s="7"/>
      <c r="I76" s="7"/>
      <c r="J76" s="31"/>
      <c r="K76" s="32"/>
      <c r="L76" s="33"/>
      <c r="N76" s="52" t="s">
        <v>176</v>
      </c>
      <c r="O76" s="53">
        <f>STDEV(O69:O74)</f>
        <v>8.7694210850583737E-2</v>
      </c>
    </row>
    <row r="77" spans="1:15" x14ac:dyDescent="0.25">
      <c r="A77" t="s">
        <v>115</v>
      </c>
      <c r="B77">
        <v>360</v>
      </c>
      <c r="C77">
        <v>6</v>
      </c>
      <c r="D77">
        <v>498</v>
      </c>
      <c r="E77">
        <v>200</v>
      </c>
      <c r="F77">
        <v>31.5</v>
      </c>
      <c r="G77" s="7">
        <f t="shared" si="0"/>
        <v>33.22016685939893</v>
      </c>
      <c r="H77">
        <v>1760</v>
      </c>
      <c r="I77" s="7">
        <f t="shared" ref="I77:I78" si="18">(H77/B77)</f>
        <v>4.8888888888888893</v>
      </c>
      <c r="J77" s="31">
        <v>0.23776094792202768</v>
      </c>
      <c r="K77" s="32">
        <f t="shared" ref="K77:K78" si="19">B77/C77</f>
        <v>60</v>
      </c>
      <c r="L77" s="33">
        <f t="shared" ref="L77:L78" si="20">K77/(90*235/D77)</f>
        <v>1.4127659574468086</v>
      </c>
      <c r="M77">
        <v>6888</v>
      </c>
      <c r="N77" s="51">
        <v>6983.2207440818793</v>
      </c>
      <c r="O77" s="50">
        <v>0.98636435141154932</v>
      </c>
    </row>
    <row r="78" spans="1:15" x14ac:dyDescent="0.25">
      <c r="A78" t="s">
        <v>116</v>
      </c>
      <c r="B78">
        <v>300</v>
      </c>
      <c r="C78">
        <v>12</v>
      </c>
      <c r="D78">
        <v>479</v>
      </c>
      <c r="E78">
        <v>200</v>
      </c>
      <c r="F78">
        <v>31.5</v>
      </c>
      <c r="G78" s="7">
        <f t="shared" si="0"/>
        <v>33.22016685939893</v>
      </c>
      <c r="H78">
        <v>1580</v>
      </c>
      <c r="I78" s="7">
        <f t="shared" si="18"/>
        <v>5.2666666666666666</v>
      </c>
      <c r="J78" s="31">
        <v>0.25227054995077303</v>
      </c>
      <c r="K78" s="32">
        <f t="shared" si="19"/>
        <v>25</v>
      </c>
      <c r="L78" s="33">
        <f t="shared" si="20"/>
        <v>0.56619385342789597</v>
      </c>
      <c r="M78">
        <v>9823</v>
      </c>
      <c r="N78" s="51">
        <v>7859.0471409283355</v>
      </c>
      <c r="O78" s="50">
        <v>1.2498970707076935</v>
      </c>
    </row>
    <row r="79" spans="1:15" x14ac:dyDescent="0.25">
      <c r="G79" s="7"/>
      <c r="I79" s="7"/>
      <c r="J79" s="31"/>
      <c r="K79" s="32"/>
      <c r="L79" s="33"/>
      <c r="N79" s="52" t="s">
        <v>164</v>
      </c>
      <c r="O79" s="46">
        <f>AVERAGE(O77:O78)</f>
        <v>1.1181307110596215</v>
      </c>
    </row>
    <row r="80" spans="1:15" x14ac:dyDescent="0.25">
      <c r="A80" s="39" t="s">
        <v>121</v>
      </c>
      <c r="B80" s="40">
        <v>2012</v>
      </c>
      <c r="C80" s="40" t="s">
        <v>158</v>
      </c>
      <c r="G80" s="7"/>
      <c r="I80" s="7"/>
      <c r="J80" s="31"/>
      <c r="K80" s="32"/>
      <c r="L80" s="33"/>
      <c r="N80" s="52" t="s">
        <v>176</v>
      </c>
      <c r="O80" s="53">
        <f>STDEV(O77:O78)</f>
        <v>0.18634577287883461</v>
      </c>
    </row>
    <row r="81" spans="1:15" x14ac:dyDescent="0.25">
      <c r="A81" t="s">
        <v>119</v>
      </c>
      <c r="B81">
        <v>114.85</v>
      </c>
      <c r="C81">
        <v>3</v>
      </c>
      <c r="D81">
        <v>354.05</v>
      </c>
      <c r="E81">
        <v>200</v>
      </c>
      <c r="F81">
        <v>40.299999999999997</v>
      </c>
      <c r="G81" s="7">
        <f t="shared" si="0"/>
        <v>35.286356706275697</v>
      </c>
      <c r="H81">
        <v>1000</v>
      </c>
      <c r="I81" s="7">
        <f t="shared" ref="I81:I104" si="21">(H81/B81)</f>
        <v>8.7070091423596008</v>
      </c>
      <c r="J81" s="31">
        <v>0.39991527860016579</v>
      </c>
      <c r="K81" s="32">
        <f t="shared" ref="K81:K104" si="22">B81/C81</f>
        <v>38.283333333333331</v>
      </c>
      <c r="L81" s="33">
        <f t="shared" ref="L81:L104" si="23">K81/(90*235/D81)</f>
        <v>0.64086118991331753</v>
      </c>
      <c r="M81">
        <v>806.4</v>
      </c>
      <c r="N81" s="51">
        <v>713.38094251635709</v>
      </c>
      <c r="O81" s="50">
        <v>1.1303918452818917</v>
      </c>
    </row>
    <row r="82" spans="1:15" x14ac:dyDescent="0.25">
      <c r="A82" t="s">
        <v>120</v>
      </c>
      <c r="B82">
        <v>114.85</v>
      </c>
      <c r="C82">
        <v>3</v>
      </c>
      <c r="D82">
        <v>354.05</v>
      </c>
      <c r="E82">
        <v>200</v>
      </c>
      <c r="F82">
        <v>40.299999999999997</v>
      </c>
      <c r="G82" s="7">
        <f t="shared" si="0"/>
        <v>35.286356706275697</v>
      </c>
      <c r="H82">
        <v>1500</v>
      </c>
      <c r="I82" s="7">
        <f t="shared" si="21"/>
        <v>13.0605137135394</v>
      </c>
      <c r="J82" s="31">
        <v>0.59987291790024866</v>
      </c>
      <c r="K82" s="32">
        <f t="shared" si="22"/>
        <v>38.283333333333331</v>
      </c>
      <c r="L82" s="33">
        <f t="shared" si="23"/>
        <v>0.64086118991331753</v>
      </c>
      <c r="M82">
        <v>688.2</v>
      </c>
      <c r="N82" s="51">
        <v>665.96908406441912</v>
      </c>
      <c r="O82" s="50">
        <v>1.0333813032279295</v>
      </c>
    </row>
    <row r="83" spans="1:15" x14ac:dyDescent="0.25">
      <c r="A83" t="s">
        <v>174</v>
      </c>
      <c r="B83">
        <v>114.85</v>
      </c>
      <c r="C83">
        <v>3</v>
      </c>
      <c r="D83">
        <v>354.05</v>
      </c>
      <c r="E83">
        <v>200</v>
      </c>
      <c r="F83">
        <v>40.299999999999997</v>
      </c>
      <c r="G83" s="7">
        <f t="shared" si="0"/>
        <v>35.286356706275697</v>
      </c>
      <c r="H83">
        <v>2000</v>
      </c>
      <c r="I83" s="7">
        <f t="shared" si="21"/>
        <v>17.414018284719202</v>
      </c>
      <c r="J83" s="31">
        <v>0.79983055720033158</v>
      </c>
      <c r="K83" s="32">
        <f t="shared" si="22"/>
        <v>38.283333333333331</v>
      </c>
      <c r="L83" s="33">
        <f t="shared" si="23"/>
        <v>0.64086118991331753</v>
      </c>
      <c r="M83">
        <v>632.20000000000005</v>
      </c>
      <c r="N83" s="51">
        <v>595.45229341492939</v>
      </c>
      <c r="O83" s="50">
        <v>1.0617139391206674</v>
      </c>
    </row>
    <row r="84" spans="1:15" x14ac:dyDescent="0.25">
      <c r="A84" t="s">
        <v>122</v>
      </c>
      <c r="B84">
        <v>114.85</v>
      </c>
      <c r="C84">
        <v>3</v>
      </c>
      <c r="D84">
        <v>354.05</v>
      </c>
      <c r="E84">
        <v>200</v>
      </c>
      <c r="F84">
        <v>40.299999999999997</v>
      </c>
      <c r="G84" s="7">
        <f t="shared" si="0"/>
        <v>35.286356706275697</v>
      </c>
      <c r="H84">
        <v>2500</v>
      </c>
      <c r="I84" s="7">
        <f t="shared" si="21"/>
        <v>21.767522855898999</v>
      </c>
      <c r="J84" s="31">
        <v>0.99978819650041451</v>
      </c>
      <c r="K84" s="32">
        <f t="shared" si="22"/>
        <v>38.283333333333331</v>
      </c>
      <c r="L84" s="33">
        <f t="shared" si="23"/>
        <v>0.64086118991331753</v>
      </c>
      <c r="M84">
        <v>566.1</v>
      </c>
      <c r="N84" s="51">
        <v>498.14398917013591</v>
      </c>
      <c r="O84" s="50">
        <v>1.1364184097515115</v>
      </c>
    </row>
    <row r="85" spans="1:15" x14ac:dyDescent="0.25">
      <c r="A85" t="s">
        <v>123</v>
      </c>
      <c r="B85">
        <v>127.3</v>
      </c>
      <c r="C85">
        <v>3</v>
      </c>
      <c r="D85">
        <v>345.2</v>
      </c>
      <c r="E85">
        <v>200</v>
      </c>
      <c r="F85">
        <v>40.299999999999997</v>
      </c>
      <c r="G85" s="7">
        <f t="shared" si="0"/>
        <v>35.286356706275697</v>
      </c>
      <c r="H85">
        <v>1000</v>
      </c>
      <c r="I85" s="7">
        <f t="shared" si="21"/>
        <v>7.855459544383347</v>
      </c>
      <c r="J85" s="31">
        <v>0.36140192548121203</v>
      </c>
      <c r="K85" s="32">
        <f t="shared" si="22"/>
        <v>42.43333333333333</v>
      </c>
      <c r="L85" s="33">
        <f t="shared" si="23"/>
        <v>0.69257620173364853</v>
      </c>
      <c r="M85">
        <v>912.1</v>
      </c>
      <c r="N85" s="51">
        <v>850.25201438124725</v>
      </c>
      <c r="O85" s="50">
        <v>1.0727407692926918</v>
      </c>
    </row>
    <row r="86" spans="1:15" x14ac:dyDescent="0.25">
      <c r="A86" t="s">
        <v>124</v>
      </c>
      <c r="B86">
        <v>127.3</v>
      </c>
      <c r="C86">
        <v>3</v>
      </c>
      <c r="D86">
        <v>345.2</v>
      </c>
      <c r="E86">
        <v>200</v>
      </c>
      <c r="F86">
        <v>40.299999999999997</v>
      </c>
      <c r="G86" s="7">
        <f t="shared" si="0"/>
        <v>35.286356706275697</v>
      </c>
      <c r="H86">
        <v>1500</v>
      </c>
      <c r="I86" s="7">
        <f t="shared" si="21"/>
        <v>11.783189316575021</v>
      </c>
      <c r="J86" s="31">
        <v>0.54210288822181796</v>
      </c>
      <c r="K86" s="32">
        <f t="shared" si="22"/>
        <v>42.43333333333333</v>
      </c>
      <c r="L86" s="33">
        <f t="shared" si="23"/>
        <v>0.69257620173364853</v>
      </c>
      <c r="M86">
        <v>848.5</v>
      </c>
      <c r="N86" s="51">
        <v>792.38477031984519</v>
      </c>
      <c r="O86" s="50">
        <v>1.0708181577713867</v>
      </c>
    </row>
    <row r="87" spans="1:15" x14ac:dyDescent="0.25">
      <c r="A87" t="s">
        <v>125</v>
      </c>
      <c r="B87">
        <v>127.3</v>
      </c>
      <c r="C87">
        <v>3</v>
      </c>
      <c r="D87">
        <v>345.2</v>
      </c>
      <c r="E87">
        <v>200</v>
      </c>
      <c r="F87">
        <v>40.299999999999997</v>
      </c>
      <c r="G87" s="7">
        <f t="shared" si="0"/>
        <v>35.286356706275697</v>
      </c>
      <c r="H87">
        <v>2000</v>
      </c>
      <c r="I87" s="7">
        <f t="shared" si="21"/>
        <v>15.710919088766694</v>
      </c>
      <c r="J87" s="31">
        <v>0.72280385096242405</v>
      </c>
      <c r="K87" s="32">
        <f t="shared" si="22"/>
        <v>42.43333333333333</v>
      </c>
      <c r="L87" s="33">
        <f t="shared" si="23"/>
        <v>0.69257620173364853</v>
      </c>
      <c r="M87">
        <v>715.8</v>
      </c>
      <c r="N87" s="51">
        <v>728.08808581023322</v>
      </c>
      <c r="O87" s="50">
        <v>0.98312280333971014</v>
      </c>
    </row>
    <row r="88" spans="1:15" x14ac:dyDescent="0.25">
      <c r="A88" t="s">
        <v>126</v>
      </c>
      <c r="B88">
        <v>127.3</v>
      </c>
      <c r="C88">
        <v>3</v>
      </c>
      <c r="D88">
        <v>345.2</v>
      </c>
      <c r="E88">
        <v>200</v>
      </c>
      <c r="F88">
        <v>40.299999999999997</v>
      </c>
      <c r="G88" s="7">
        <f t="shared" si="0"/>
        <v>35.286356706275697</v>
      </c>
      <c r="H88">
        <v>2500</v>
      </c>
      <c r="I88" s="7">
        <f t="shared" si="21"/>
        <v>19.638648860958366</v>
      </c>
      <c r="J88" s="31">
        <v>0.90350481370302993</v>
      </c>
      <c r="K88" s="32">
        <f t="shared" si="22"/>
        <v>42.43333333333333</v>
      </c>
      <c r="L88" s="33">
        <f t="shared" si="23"/>
        <v>0.69257620173364853</v>
      </c>
      <c r="M88">
        <v>638.79999999999995</v>
      </c>
      <c r="N88" s="51">
        <v>636.59982579002178</v>
      </c>
      <c r="O88" s="50">
        <v>1.0034561338549657</v>
      </c>
    </row>
    <row r="89" spans="1:15" x14ac:dyDescent="0.25">
      <c r="A89" t="s">
        <v>127</v>
      </c>
      <c r="B89">
        <v>139.19999999999999</v>
      </c>
      <c r="C89">
        <v>3</v>
      </c>
      <c r="D89">
        <v>361.95</v>
      </c>
      <c r="E89">
        <v>200</v>
      </c>
      <c r="F89">
        <v>40.299999999999997</v>
      </c>
      <c r="G89" s="7">
        <f t="shared" si="0"/>
        <v>35.286356706275697</v>
      </c>
      <c r="H89">
        <v>1000</v>
      </c>
      <c r="I89" s="7">
        <f t="shared" si="21"/>
        <v>7.1839080459770122</v>
      </c>
      <c r="J89" s="31">
        <v>0.33641474035142871</v>
      </c>
      <c r="K89" s="32">
        <f t="shared" si="22"/>
        <v>46.4</v>
      </c>
      <c r="L89" s="33">
        <f t="shared" si="23"/>
        <v>0.79406524822695035</v>
      </c>
      <c r="M89">
        <v>1059.8</v>
      </c>
      <c r="N89" s="51">
        <v>1020.9837345513943</v>
      </c>
      <c r="O89" s="50">
        <v>1.0380184954324085</v>
      </c>
    </row>
    <row r="90" spans="1:15" x14ac:dyDescent="0.25">
      <c r="A90" t="s">
        <v>128</v>
      </c>
      <c r="B90">
        <v>139.19999999999999</v>
      </c>
      <c r="C90">
        <v>3</v>
      </c>
      <c r="D90">
        <v>361.95</v>
      </c>
      <c r="E90">
        <v>200</v>
      </c>
      <c r="F90">
        <v>40.299999999999997</v>
      </c>
      <c r="G90" s="7">
        <f t="shared" ref="G90:G125" si="24">22*((F90+8)/10)^0.3</f>
        <v>35.286356706275697</v>
      </c>
      <c r="H90">
        <v>1500</v>
      </c>
      <c r="I90" s="7">
        <f t="shared" si="21"/>
        <v>10.775862068965518</v>
      </c>
      <c r="J90" s="31">
        <v>0.50462211052714312</v>
      </c>
      <c r="K90" s="32">
        <f t="shared" si="22"/>
        <v>46.4</v>
      </c>
      <c r="L90" s="33">
        <f t="shared" si="23"/>
        <v>0.79406524822695035</v>
      </c>
      <c r="M90">
        <v>941.9</v>
      </c>
      <c r="N90" s="51">
        <v>946.99914635485425</v>
      </c>
      <c r="O90" s="50">
        <v>0.99461546890038743</v>
      </c>
    </row>
    <row r="91" spans="1:15" x14ac:dyDescent="0.25">
      <c r="A91" t="s">
        <v>129</v>
      </c>
      <c r="B91">
        <v>139.19999999999999</v>
      </c>
      <c r="C91">
        <v>3</v>
      </c>
      <c r="D91">
        <v>361.95</v>
      </c>
      <c r="E91">
        <v>200</v>
      </c>
      <c r="F91">
        <v>40.299999999999997</v>
      </c>
      <c r="G91" s="7">
        <f t="shared" si="24"/>
        <v>35.286356706275697</v>
      </c>
      <c r="H91">
        <v>2000</v>
      </c>
      <c r="I91" s="7">
        <f t="shared" si="21"/>
        <v>14.367816091954024</v>
      </c>
      <c r="J91" s="31">
        <v>0.67282948070285742</v>
      </c>
      <c r="K91" s="32">
        <f t="shared" si="22"/>
        <v>46.4</v>
      </c>
      <c r="L91" s="33">
        <f t="shared" si="23"/>
        <v>0.79406524822695035</v>
      </c>
      <c r="M91">
        <v>868.3</v>
      </c>
      <c r="N91" s="51">
        <v>882.65714652247709</v>
      </c>
      <c r="O91" s="50">
        <v>0.98373417517884276</v>
      </c>
    </row>
    <row r="92" spans="1:15" x14ac:dyDescent="0.25">
      <c r="A92" t="s">
        <v>130</v>
      </c>
      <c r="B92">
        <v>139.19999999999999</v>
      </c>
      <c r="C92">
        <v>3</v>
      </c>
      <c r="D92">
        <v>361.95</v>
      </c>
      <c r="E92">
        <v>200</v>
      </c>
      <c r="F92">
        <v>40.299999999999997</v>
      </c>
      <c r="G92" s="7">
        <f t="shared" si="24"/>
        <v>35.286356706275697</v>
      </c>
      <c r="H92">
        <v>2500</v>
      </c>
      <c r="I92" s="7">
        <f t="shared" si="21"/>
        <v>17.959770114942529</v>
      </c>
      <c r="J92" s="31">
        <v>0.84103685087857183</v>
      </c>
      <c r="K92" s="32">
        <f t="shared" si="22"/>
        <v>46.4</v>
      </c>
      <c r="L92" s="33">
        <f t="shared" si="23"/>
        <v>0.79406524822695035</v>
      </c>
      <c r="M92">
        <v>750.7</v>
      </c>
      <c r="N92" s="51">
        <v>791.63104008072196</v>
      </c>
      <c r="O92" s="50">
        <v>0.94829530676747065</v>
      </c>
    </row>
    <row r="93" spans="1:15" x14ac:dyDescent="0.25">
      <c r="A93" t="s">
        <v>131</v>
      </c>
      <c r="B93">
        <v>152.4</v>
      </c>
      <c r="C93">
        <v>3</v>
      </c>
      <c r="D93">
        <v>488.2</v>
      </c>
      <c r="E93">
        <v>200</v>
      </c>
      <c r="F93">
        <v>30.9</v>
      </c>
      <c r="G93" s="7">
        <f t="shared" si="24"/>
        <v>33.0679719999141</v>
      </c>
      <c r="H93">
        <v>1000</v>
      </c>
      <c r="I93" s="7">
        <f t="shared" si="21"/>
        <v>6.5616797900262469</v>
      </c>
      <c r="J93" s="31">
        <v>0.31566335701588971</v>
      </c>
      <c r="K93" s="32">
        <f t="shared" si="22"/>
        <v>50.800000000000004</v>
      </c>
      <c r="L93" s="33">
        <f t="shared" si="23"/>
        <v>1.1726033096926716</v>
      </c>
      <c r="M93">
        <v>1463.3</v>
      </c>
      <c r="N93" s="51">
        <v>1233.6757577004703</v>
      </c>
      <c r="O93" s="50">
        <v>1.1861301406518203</v>
      </c>
    </row>
    <row r="94" spans="1:15" x14ac:dyDescent="0.25">
      <c r="A94" t="s">
        <v>132</v>
      </c>
      <c r="B94">
        <v>152.4</v>
      </c>
      <c r="C94">
        <v>3</v>
      </c>
      <c r="D94">
        <v>488.2</v>
      </c>
      <c r="E94">
        <v>200</v>
      </c>
      <c r="F94">
        <v>30.9</v>
      </c>
      <c r="G94" s="7">
        <f t="shared" si="24"/>
        <v>33.0679719999141</v>
      </c>
      <c r="H94">
        <v>1500</v>
      </c>
      <c r="I94" s="7">
        <f t="shared" si="21"/>
        <v>9.8425196850393704</v>
      </c>
      <c r="J94" s="31">
        <v>0.47349503552383454</v>
      </c>
      <c r="K94" s="32">
        <f t="shared" si="22"/>
        <v>50.800000000000004</v>
      </c>
      <c r="L94" s="33">
        <f t="shared" si="23"/>
        <v>1.1726033096926716</v>
      </c>
      <c r="M94">
        <v>1209.0999999999999</v>
      </c>
      <c r="N94" s="51">
        <v>1116.9875358318961</v>
      </c>
      <c r="O94" s="50">
        <v>1.0824650779110989</v>
      </c>
    </row>
    <row r="95" spans="1:15" x14ac:dyDescent="0.25">
      <c r="A95" t="s">
        <v>133</v>
      </c>
      <c r="B95">
        <v>152.4</v>
      </c>
      <c r="C95">
        <v>3</v>
      </c>
      <c r="D95">
        <v>488.2</v>
      </c>
      <c r="E95">
        <v>200</v>
      </c>
      <c r="F95">
        <v>30.9</v>
      </c>
      <c r="G95" s="7">
        <f t="shared" si="24"/>
        <v>33.0679719999141</v>
      </c>
      <c r="H95">
        <v>2000</v>
      </c>
      <c r="I95" s="7">
        <f t="shared" si="21"/>
        <v>13.123359580052494</v>
      </c>
      <c r="J95" s="31">
        <v>0.63132671403177942</v>
      </c>
      <c r="K95" s="32">
        <f t="shared" si="22"/>
        <v>50.800000000000004</v>
      </c>
      <c r="L95" s="33">
        <f t="shared" si="23"/>
        <v>1.1726033096926716</v>
      </c>
      <c r="M95">
        <v>1167.3</v>
      </c>
      <c r="N95" s="51">
        <v>1059.9057519199214</v>
      </c>
      <c r="O95" s="50">
        <v>1.101324337456933</v>
      </c>
    </row>
    <row r="96" spans="1:15" x14ac:dyDescent="0.25">
      <c r="A96" t="s">
        <v>134</v>
      </c>
      <c r="B96">
        <v>152.4</v>
      </c>
      <c r="C96">
        <v>3</v>
      </c>
      <c r="D96">
        <v>394.3</v>
      </c>
      <c r="E96">
        <v>200</v>
      </c>
      <c r="F96">
        <v>30.9</v>
      </c>
      <c r="G96" s="7">
        <f t="shared" si="24"/>
        <v>33.0679719999141</v>
      </c>
      <c r="H96">
        <v>2500</v>
      </c>
      <c r="I96" s="7">
        <f t="shared" si="21"/>
        <v>16.404199475065617</v>
      </c>
      <c r="J96" s="31">
        <v>0.74470368645921148</v>
      </c>
      <c r="K96" s="32">
        <f t="shared" si="22"/>
        <v>50.800000000000004</v>
      </c>
      <c r="L96" s="33">
        <f t="shared" si="23"/>
        <v>0.94706572104018916</v>
      </c>
      <c r="M96">
        <v>968.9</v>
      </c>
      <c r="N96" s="51">
        <v>887.96680685215313</v>
      </c>
      <c r="O96" s="50">
        <v>1.0911443902219222</v>
      </c>
    </row>
    <row r="97" spans="1:15" x14ac:dyDescent="0.25">
      <c r="A97" t="s">
        <v>135</v>
      </c>
      <c r="B97">
        <v>165.1</v>
      </c>
      <c r="C97">
        <v>3</v>
      </c>
      <c r="D97">
        <v>438.2</v>
      </c>
      <c r="E97">
        <v>200</v>
      </c>
      <c r="F97">
        <v>30.9</v>
      </c>
      <c r="G97" s="7">
        <f t="shared" si="24"/>
        <v>33.0679719999141</v>
      </c>
      <c r="H97">
        <v>1000</v>
      </c>
      <c r="I97" s="7">
        <f t="shared" si="21"/>
        <v>6.0569351907934585</v>
      </c>
      <c r="J97" s="31">
        <v>0.28333501102719455</v>
      </c>
      <c r="K97" s="32">
        <f t="shared" si="22"/>
        <v>55.033333333333331</v>
      </c>
      <c r="L97" s="33">
        <f t="shared" si="23"/>
        <v>1.1402178092986603</v>
      </c>
      <c r="M97">
        <v>1549.5</v>
      </c>
      <c r="N97" s="51">
        <v>1348.3007228823133</v>
      </c>
      <c r="O97" s="50">
        <v>1.1492243337877737</v>
      </c>
    </row>
    <row r="98" spans="1:15" x14ac:dyDescent="0.25">
      <c r="A98" t="s">
        <v>136</v>
      </c>
      <c r="B98">
        <v>165.1</v>
      </c>
      <c r="C98">
        <v>3</v>
      </c>
      <c r="D98">
        <v>438.2</v>
      </c>
      <c r="E98">
        <v>200</v>
      </c>
      <c r="F98">
        <v>30.9</v>
      </c>
      <c r="G98" s="7">
        <f t="shared" si="24"/>
        <v>33.0679719999141</v>
      </c>
      <c r="H98">
        <v>1500</v>
      </c>
      <c r="I98" s="7">
        <f t="shared" si="21"/>
        <v>9.0854027861901887</v>
      </c>
      <c r="J98" s="31">
        <v>0.42500251654079174</v>
      </c>
      <c r="K98" s="32">
        <f t="shared" si="22"/>
        <v>55.033333333333331</v>
      </c>
      <c r="L98" s="33">
        <f t="shared" si="23"/>
        <v>1.1402178092986603</v>
      </c>
      <c r="M98">
        <v>1338</v>
      </c>
      <c r="N98" s="51">
        <v>1207.2932370577196</v>
      </c>
      <c r="O98" s="50">
        <v>1.1082643047523602</v>
      </c>
    </row>
    <row r="99" spans="1:15" x14ac:dyDescent="0.25">
      <c r="A99" t="s">
        <v>137</v>
      </c>
      <c r="B99">
        <v>165.1</v>
      </c>
      <c r="C99">
        <v>3</v>
      </c>
      <c r="D99">
        <v>438.2</v>
      </c>
      <c r="E99">
        <v>200</v>
      </c>
      <c r="F99">
        <v>30.9</v>
      </c>
      <c r="G99" s="7">
        <f t="shared" si="24"/>
        <v>33.0679719999141</v>
      </c>
      <c r="H99">
        <v>2000</v>
      </c>
      <c r="I99" s="7">
        <f t="shared" si="21"/>
        <v>12.113870381586917</v>
      </c>
      <c r="J99" s="31">
        <v>0.5666700220543891</v>
      </c>
      <c r="K99" s="32">
        <f t="shared" si="22"/>
        <v>55.033333333333331</v>
      </c>
      <c r="L99" s="33">
        <f t="shared" si="23"/>
        <v>1.1402178092986603</v>
      </c>
      <c r="M99">
        <v>1234.5</v>
      </c>
      <c r="N99" s="51">
        <v>1158.2156188063409</v>
      </c>
      <c r="O99" s="50">
        <v>1.0658637130729405</v>
      </c>
    </row>
    <row r="100" spans="1:15" x14ac:dyDescent="0.25">
      <c r="A100" t="s">
        <v>138</v>
      </c>
      <c r="B100">
        <v>165.1</v>
      </c>
      <c r="C100">
        <v>3</v>
      </c>
      <c r="D100">
        <v>430.3</v>
      </c>
      <c r="E100">
        <v>200</v>
      </c>
      <c r="F100">
        <v>30.9</v>
      </c>
      <c r="G100" s="7">
        <f t="shared" si="24"/>
        <v>33.0679719999141</v>
      </c>
      <c r="H100">
        <v>2500</v>
      </c>
      <c r="I100" s="7">
        <f t="shared" si="21"/>
        <v>15.142337976983647</v>
      </c>
      <c r="J100" s="31">
        <v>0.70499998277308285</v>
      </c>
      <c r="K100" s="32">
        <f t="shared" si="22"/>
        <v>55.033333333333331</v>
      </c>
      <c r="L100" s="33">
        <f t="shared" si="23"/>
        <v>1.119661623325453</v>
      </c>
      <c r="M100">
        <v>1232</v>
      </c>
      <c r="N100" s="51">
        <v>1075.0741672524712</v>
      </c>
      <c r="O100" s="50">
        <v>1.1459674481329774</v>
      </c>
    </row>
    <row r="101" spans="1:15" x14ac:dyDescent="0.25">
      <c r="A101" t="s">
        <v>139</v>
      </c>
      <c r="B101">
        <v>193.7</v>
      </c>
      <c r="C101">
        <v>3</v>
      </c>
      <c r="D101">
        <v>398.8</v>
      </c>
      <c r="E101">
        <v>200</v>
      </c>
      <c r="F101">
        <v>30.9</v>
      </c>
      <c r="G101" s="7">
        <f t="shared" si="24"/>
        <v>33.0679719999141</v>
      </c>
      <c r="H101">
        <v>1000</v>
      </c>
      <c r="I101" s="7">
        <f t="shared" si="21"/>
        <v>5.1626226122870422</v>
      </c>
      <c r="J101" s="31">
        <v>0.23728801087028797</v>
      </c>
      <c r="K101" s="32">
        <f t="shared" si="22"/>
        <v>64.566666666666663</v>
      </c>
      <c r="L101" s="33">
        <f t="shared" si="23"/>
        <v>1.2174556343577621</v>
      </c>
      <c r="M101">
        <v>1999.6</v>
      </c>
      <c r="N101" s="51">
        <v>1715.0866980695428</v>
      </c>
      <c r="O101" s="50">
        <v>1.1658885829216086</v>
      </c>
    </row>
    <row r="102" spans="1:15" x14ac:dyDescent="0.25">
      <c r="A102" t="s">
        <v>140</v>
      </c>
      <c r="B102">
        <v>193.7</v>
      </c>
      <c r="C102">
        <v>3.5</v>
      </c>
      <c r="D102">
        <v>398.8</v>
      </c>
      <c r="E102">
        <v>200</v>
      </c>
      <c r="F102">
        <v>30.9</v>
      </c>
      <c r="G102" s="7">
        <f t="shared" si="24"/>
        <v>33.0679719999141</v>
      </c>
      <c r="H102">
        <v>1500</v>
      </c>
      <c r="I102" s="7">
        <f t="shared" si="21"/>
        <v>7.7439339184305629</v>
      </c>
      <c r="J102" s="31">
        <v>0.3537328034827853</v>
      </c>
      <c r="K102" s="32">
        <f t="shared" si="22"/>
        <v>55.342857142857142</v>
      </c>
      <c r="L102" s="33">
        <f t="shared" si="23"/>
        <v>1.0435334008780819</v>
      </c>
      <c r="M102">
        <v>1817.1</v>
      </c>
      <c r="N102" s="51">
        <v>1654.2653847342704</v>
      </c>
      <c r="O102" s="50">
        <v>1.0984331877873914</v>
      </c>
    </row>
    <row r="103" spans="1:15" x14ac:dyDescent="0.25">
      <c r="A103" t="s">
        <v>141</v>
      </c>
      <c r="B103">
        <v>193.7</v>
      </c>
      <c r="C103">
        <v>3.5</v>
      </c>
      <c r="D103">
        <v>398.8</v>
      </c>
      <c r="E103">
        <v>200</v>
      </c>
      <c r="F103">
        <v>30.9</v>
      </c>
      <c r="G103" s="7">
        <f t="shared" si="24"/>
        <v>33.0679719999141</v>
      </c>
      <c r="H103">
        <v>2000</v>
      </c>
      <c r="I103" s="7">
        <f t="shared" si="21"/>
        <v>10.325245224574084</v>
      </c>
      <c r="J103" s="31">
        <v>0.47164373797704695</v>
      </c>
      <c r="K103" s="32">
        <f t="shared" si="22"/>
        <v>55.342857142857142</v>
      </c>
      <c r="L103" s="33">
        <f t="shared" si="23"/>
        <v>1.0435334008780819</v>
      </c>
      <c r="M103">
        <v>1796.3</v>
      </c>
      <c r="N103" s="51">
        <v>1555.6935529517375</v>
      </c>
      <c r="O103" s="50">
        <v>1.1546618526455557</v>
      </c>
    </row>
    <row r="104" spans="1:15" x14ac:dyDescent="0.25">
      <c r="A104" t="s">
        <v>142</v>
      </c>
      <c r="B104">
        <v>193.7</v>
      </c>
      <c r="C104">
        <v>3.5</v>
      </c>
      <c r="D104">
        <v>392.2</v>
      </c>
      <c r="E104">
        <v>200</v>
      </c>
      <c r="F104">
        <v>30.9</v>
      </c>
      <c r="G104" s="7">
        <f t="shared" si="24"/>
        <v>33.0679719999141</v>
      </c>
      <c r="H104">
        <v>2500</v>
      </c>
      <c r="I104" s="7">
        <f t="shared" si="21"/>
        <v>12.906556530717605</v>
      </c>
      <c r="J104" s="31">
        <v>0.58712772655999534</v>
      </c>
      <c r="K104" s="32">
        <f t="shared" si="22"/>
        <v>55.342857142857142</v>
      </c>
      <c r="L104" s="33">
        <f t="shared" si="23"/>
        <v>1.0262632894292467</v>
      </c>
      <c r="M104">
        <v>1620.8</v>
      </c>
      <c r="N104" s="51">
        <v>1490.8978104235612</v>
      </c>
      <c r="O104" s="50">
        <v>1.0871301766413715</v>
      </c>
    </row>
    <row r="105" spans="1:15" x14ac:dyDescent="0.25">
      <c r="G105" s="7"/>
      <c r="I105" s="7"/>
      <c r="J105" s="31"/>
      <c r="K105" s="32"/>
      <c r="L105" s="33"/>
      <c r="N105" s="52" t="s">
        <v>168</v>
      </c>
      <c r="O105" s="46">
        <f>AVERAGE(O81:O104)</f>
        <v>1.0788835147459841</v>
      </c>
    </row>
    <row r="106" spans="1:15" x14ac:dyDescent="0.25">
      <c r="A106" s="39" t="s">
        <v>145</v>
      </c>
      <c r="B106" s="40">
        <v>2012</v>
      </c>
      <c r="C106" s="40" t="s">
        <v>159</v>
      </c>
      <c r="G106" s="7"/>
      <c r="I106" s="7"/>
      <c r="J106" s="31"/>
      <c r="K106" s="32"/>
      <c r="L106" s="33"/>
      <c r="N106" s="52" t="s">
        <v>176</v>
      </c>
      <c r="O106" s="53">
        <f>STDEV(O81:O104)</f>
        <v>6.4126365568031446E-2</v>
      </c>
    </row>
    <row r="107" spans="1:15" x14ac:dyDescent="0.25">
      <c r="A107" t="s">
        <v>143</v>
      </c>
      <c r="B107">
        <v>150</v>
      </c>
      <c r="C107">
        <v>3</v>
      </c>
      <c r="D107">
        <v>324.39999999999998</v>
      </c>
      <c r="E107">
        <v>200</v>
      </c>
      <c r="F107">
        <v>42.1</v>
      </c>
      <c r="G107" s="7">
        <f t="shared" si="24"/>
        <v>35.675822836398801</v>
      </c>
      <c r="H107">
        <v>675</v>
      </c>
      <c r="I107" s="7">
        <f t="shared" ref="I107:I108" si="25">(H107/B107)</f>
        <v>4.5</v>
      </c>
      <c r="J107" s="31">
        <v>0.20940447920439456</v>
      </c>
      <c r="K107" s="32">
        <f t="shared" ref="K107:K108" si="26">B107/C107</f>
        <v>50</v>
      </c>
      <c r="L107" s="33">
        <f t="shared" ref="L107:L108" si="27">K107/(90*235/D107)</f>
        <v>0.76690307328605201</v>
      </c>
      <c r="M107">
        <v>1462</v>
      </c>
      <c r="N107" s="51">
        <v>1254.8416316945311</v>
      </c>
      <c r="O107" s="50">
        <v>1.1650872612711483</v>
      </c>
    </row>
    <row r="108" spans="1:15" x14ac:dyDescent="0.25">
      <c r="A108" t="s">
        <v>144</v>
      </c>
      <c r="B108">
        <v>150</v>
      </c>
      <c r="C108">
        <v>3</v>
      </c>
      <c r="D108">
        <v>324.39999999999998</v>
      </c>
      <c r="E108">
        <v>200</v>
      </c>
      <c r="F108">
        <v>42.1</v>
      </c>
      <c r="G108" s="7">
        <f t="shared" si="24"/>
        <v>35.675822836398801</v>
      </c>
      <c r="H108">
        <v>900</v>
      </c>
      <c r="I108" s="7">
        <f t="shared" si="25"/>
        <v>6</v>
      </c>
      <c r="J108" s="31">
        <v>0.27920597227252608</v>
      </c>
      <c r="K108" s="32">
        <f t="shared" si="26"/>
        <v>50</v>
      </c>
      <c r="L108" s="33">
        <f t="shared" si="27"/>
        <v>0.76690307328605201</v>
      </c>
      <c r="M108">
        <v>1489</v>
      </c>
      <c r="N108" s="51">
        <v>1176.7362499147355</v>
      </c>
      <c r="O108" s="50">
        <v>1.2653642650236114</v>
      </c>
    </row>
    <row r="109" spans="1:15" x14ac:dyDescent="0.25">
      <c r="G109" s="7"/>
      <c r="I109" s="7"/>
      <c r="J109" s="31"/>
      <c r="K109" s="32"/>
      <c r="L109" s="33"/>
      <c r="N109" s="52" t="s">
        <v>164</v>
      </c>
      <c r="O109" s="46">
        <f>AVERAGE(O107:O108)</f>
        <v>1.2152257631473797</v>
      </c>
    </row>
    <row r="110" spans="1:15" x14ac:dyDescent="0.25">
      <c r="A110" s="39" t="s">
        <v>151</v>
      </c>
      <c r="B110" s="40">
        <v>2013</v>
      </c>
      <c r="C110" s="40" t="s">
        <v>160</v>
      </c>
      <c r="G110" s="7"/>
      <c r="I110" s="7"/>
      <c r="J110" s="31"/>
      <c r="K110" s="32"/>
      <c r="L110" s="33"/>
      <c r="N110" s="52" t="s">
        <v>176</v>
      </c>
      <c r="O110" s="53">
        <f>STDEV(O107:O108)</f>
        <v>7.0906549350435596E-2</v>
      </c>
    </row>
    <row r="111" spans="1:15" x14ac:dyDescent="0.25">
      <c r="A111" t="s">
        <v>146</v>
      </c>
      <c r="B111">
        <v>76.209999999999994</v>
      </c>
      <c r="C111">
        <v>2.52</v>
      </c>
      <c r="D111">
        <v>286</v>
      </c>
      <c r="E111">
        <v>200</v>
      </c>
      <c r="F111">
        <v>145</v>
      </c>
      <c r="G111" s="7">
        <f t="shared" si="24"/>
        <v>49.868936898619971</v>
      </c>
      <c r="H111">
        <v>400</v>
      </c>
      <c r="I111" s="7">
        <f t="shared" ref="I111:I117" si="28">(H111/B111)</f>
        <v>5.2486550321480125</v>
      </c>
      <c r="J111" s="31">
        <v>0.32168168789884172</v>
      </c>
      <c r="K111" s="32">
        <f t="shared" ref="K111:K117" si="29">B111/C111</f>
        <v>30.24206349206349</v>
      </c>
      <c r="L111" s="33">
        <f t="shared" ref="L111:L117" si="30">K111/(90*235/D111)</f>
        <v>0.40894705242222973</v>
      </c>
      <c r="M111">
        <v>752</v>
      </c>
      <c r="N111" s="51">
        <v>734.70081153667525</v>
      </c>
      <c r="O111" s="50">
        <v>1.0235458954062435</v>
      </c>
    </row>
    <row r="112" spans="1:15" x14ac:dyDescent="0.25">
      <c r="A112" t="s">
        <v>147</v>
      </c>
      <c r="B112">
        <v>76.12</v>
      </c>
      <c r="C112">
        <v>2.5099999999999998</v>
      </c>
      <c r="D112">
        <v>286</v>
      </c>
      <c r="E112">
        <v>200</v>
      </c>
      <c r="F112">
        <v>145</v>
      </c>
      <c r="G112" s="7">
        <f t="shared" si="24"/>
        <v>49.868936898619971</v>
      </c>
      <c r="H112">
        <v>400</v>
      </c>
      <c r="I112" s="7">
        <f t="shared" si="28"/>
        <v>5.2548607461902259</v>
      </c>
      <c r="J112" s="31">
        <v>0.3222488319877147</v>
      </c>
      <c r="K112" s="32">
        <f t="shared" si="29"/>
        <v>30.326693227091639</v>
      </c>
      <c r="L112" s="33">
        <f t="shared" si="30"/>
        <v>0.41009145451291767</v>
      </c>
      <c r="M112">
        <v>762</v>
      </c>
      <c r="N112" s="51">
        <v>732.51597645491358</v>
      </c>
      <c r="O112" s="50">
        <v>1.0402503487879915</v>
      </c>
    </row>
    <row r="113" spans="1:15" x14ac:dyDescent="0.25">
      <c r="A113" t="s">
        <v>148</v>
      </c>
      <c r="B113">
        <v>76.11</v>
      </c>
      <c r="C113">
        <v>2.48</v>
      </c>
      <c r="D113">
        <v>286</v>
      </c>
      <c r="E113">
        <v>200</v>
      </c>
      <c r="F113">
        <v>145</v>
      </c>
      <c r="G113" s="7">
        <f t="shared" si="24"/>
        <v>49.868936898619971</v>
      </c>
      <c r="H113">
        <v>400</v>
      </c>
      <c r="I113" s="7">
        <f t="shared" si="28"/>
        <v>5.2555511759295754</v>
      </c>
      <c r="J113" s="31">
        <v>0.32308676108129208</v>
      </c>
      <c r="K113" s="32">
        <f t="shared" si="29"/>
        <v>30.68951612903226</v>
      </c>
      <c r="L113" s="33">
        <f t="shared" si="30"/>
        <v>0.414997712194006</v>
      </c>
      <c r="M113">
        <v>774</v>
      </c>
      <c r="N113" s="51">
        <v>731.00665699678291</v>
      </c>
      <c r="O113" s="50">
        <v>1.0588138871126673</v>
      </c>
    </row>
    <row r="114" spans="1:15" x14ac:dyDescent="0.25">
      <c r="A114" t="s">
        <v>149</v>
      </c>
      <c r="B114">
        <v>76.19</v>
      </c>
      <c r="C114">
        <v>2.99</v>
      </c>
      <c r="D114">
        <v>278</v>
      </c>
      <c r="E114">
        <v>200</v>
      </c>
      <c r="F114">
        <v>145</v>
      </c>
      <c r="G114" s="7">
        <f t="shared" si="24"/>
        <v>49.868936898619971</v>
      </c>
      <c r="H114">
        <v>400</v>
      </c>
      <c r="I114" s="7">
        <f t="shared" si="28"/>
        <v>5.2500328127050793</v>
      </c>
      <c r="J114" s="31">
        <v>0.30931361242368205</v>
      </c>
      <c r="K114" s="32">
        <f t="shared" si="29"/>
        <v>25.481605351170565</v>
      </c>
      <c r="L114" s="33">
        <f t="shared" si="30"/>
        <v>0.33493552187354214</v>
      </c>
      <c r="M114">
        <v>805</v>
      </c>
      <c r="N114" s="51">
        <v>749.4263083106448</v>
      </c>
      <c r="O114" s="50">
        <v>1.0741549783789006</v>
      </c>
    </row>
    <row r="115" spans="1:15" x14ac:dyDescent="0.25">
      <c r="A115" t="s">
        <v>150</v>
      </c>
      <c r="B115">
        <v>75.84</v>
      </c>
      <c r="C115">
        <v>2.99</v>
      </c>
      <c r="D115">
        <v>278</v>
      </c>
      <c r="E115">
        <v>200</v>
      </c>
      <c r="F115">
        <v>145</v>
      </c>
      <c r="G115" s="7">
        <f t="shared" si="24"/>
        <v>49.868936898619971</v>
      </c>
      <c r="H115">
        <v>400</v>
      </c>
      <c r="I115" s="7">
        <f t="shared" si="28"/>
        <v>5.2742616033755274</v>
      </c>
      <c r="J115" s="31">
        <v>0.31043598799757882</v>
      </c>
      <c r="K115" s="32">
        <f t="shared" si="29"/>
        <v>25.364548494983278</v>
      </c>
      <c r="L115" s="33">
        <f t="shared" si="30"/>
        <v>0.33339690220356266</v>
      </c>
      <c r="M115">
        <v>796</v>
      </c>
      <c r="N115" s="51">
        <v>742.53127064626187</v>
      </c>
      <c r="O115" s="50">
        <v>1.0720087240328635</v>
      </c>
    </row>
    <row r="116" spans="1:15" x14ac:dyDescent="0.25">
      <c r="A116" t="s">
        <v>152</v>
      </c>
      <c r="B116">
        <v>75.97</v>
      </c>
      <c r="C116">
        <v>2.98</v>
      </c>
      <c r="D116">
        <v>278</v>
      </c>
      <c r="E116">
        <v>200</v>
      </c>
      <c r="F116">
        <v>145</v>
      </c>
      <c r="G116" s="7">
        <f t="shared" si="24"/>
        <v>49.868936898619971</v>
      </c>
      <c r="H116">
        <v>400</v>
      </c>
      <c r="I116" s="7">
        <f t="shared" si="28"/>
        <v>5.2652362774779515</v>
      </c>
      <c r="J116" s="31">
        <v>0.31023968360178811</v>
      </c>
      <c r="K116" s="32">
        <f t="shared" si="29"/>
        <v>25.493288590604028</v>
      </c>
      <c r="L116" s="33">
        <f t="shared" si="30"/>
        <v>0.33508908880321131</v>
      </c>
      <c r="M116">
        <v>801</v>
      </c>
      <c r="N116" s="51">
        <v>744.67743991767475</v>
      </c>
      <c r="O116" s="50">
        <v>1.0756334985635549</v>
      </c>
    </row>
    <row r="117" spans="1:15" x14ac:dyDescent="0.25">
      <c r="A117" t="s">
        <v>153</v>
      </c>
      <c r="B117">
        <v>76.180000000000007</v>
      </c>
      <c r="C117">
        <v>3.31</v>
      </c>
      <c r="D117">
        <v>305</v>
      </c>
      <c r="E117">
        <v>200</v>
      </c>
      <c r="F117">
        <v>145</v>
      </c>
      <c r="G117" s="7">
        <f t="shared" si="24"/>
        <v>49.868936898619971</v>
      </c>
      <c r="H117">
        <v>400</v>
      </c>
      <c r="I117" s="7">
        <f t="shared" si="28"/>
        <v>5.2507219742714621</v>
      </c>
      <c r="J117" s="31">
        <v>0.3067402062880254</v>
      </c>
      <c r="K117" s="32">
        <f t="shared" si="29"/>
        <v>23.015105740181269</v>
      </c>
      <c r="L117" s="33">
        <f t="shared" si="30"/>
        <v>0.33189632391277957</v>
      </c>
      <c r="M117">
        <v>841</v>
      </c>
      <c r="N117" s="51">
        <v>782.18779967983653</v>
      </c>
      <c r="O117" s="50">
        <v>1.0751893603355056</v>
      </c>
    </row>
    <row r="118" spans="1:15" x14ac:dyDescent="0.25">
      <c r="G118" s="7"/>
      <c r="I118" s="7"/>
      <c r="J118" s="31"/>
      <c r="K118" s="32"/>
      <c r="L118" s="33"/>
      <c r="N118" s="52" t="s">
        <v>165</v>
      </c>
      <c r="O118" s="46">
        <f>AVERAGE(O111:O117)</f>
        <v>1.0599423846596752</v>
      </c>
    </row>
    <row r="119" spans="1:15" x14ac:dyDescent="0.25">
      <c r="A119" s="39" t="s">
        <v>154</v>
      </c>
      <c r="B119" s="40">
        <v>2013</v>
      </c>
      <c r="C119" s="40" t="s">
        <v>161</v>
      </c>
      <c r="G119" s="7"/>
      <c r="I119" s="7"/>
      <c r="J119" s="31"/>
      <c r="K119" s="32"/>
      <c r="L119" s="33"/>
      <c r="N119" s="52" t="s">
        <v>176</v>
      </c>
      <c r="O119" s="53">
        <f>STDEV(O111:O117)</f>
        <v>2.0575186926494175E-2</v>
      </c>
    </row>
    <row r="120" spans="1:15" x14ac:dyDescent="0.25">
      <c r="A120">
        <v>1</v>
      </c>
      <c r="B120">
        <v>159</v>
      </c>
      <c r="C120">
        <v>6</v>
      </c>
      <c r="D120">
        <v>394</v>
      </c>
      <c r="E120">
        <v>200</v>
      </c>
      <c r="F120">
        <v>37.700000000000003</v>
      </c>
      <c r="G120" s="7">
        <f t="shared" si="24"/>
        <v>34.705438883544772</v>
      </c>
      <c r="H120">
        <v>2135</v>
      </c>
      <c r="I120" s="7">
        <f t="shared" ref="I120:I122" si="31">(H120/B120)</f>
        <v>13.427672955974844</v>
      </c>
      <c r="J120" s="31">
        <v>0.61599721273610841</v>
      </c>
      <c r="K120" s="32">
        <f t="shared" ref="K120:K122" si="32">B120/C120</f>
        <v>26.5</v>
      </c>
      <c r="L120" s="33">
        <f t="shared" ref="L120:L122" si="33">K120/(90*235/D120)</f>
        <v>0.49366430260047278</v>
      </c>
      <c r="M120">
        <v>1414</v>
      </c>
      <c r="N120" s="51">
        <v>1569.7866897896467</v>
      </c>
      <c r="O120" s="50">
        <v>0.90075932558039318</v>
      </c>
    </row>
    <row r="121" spans="1:15" x14ac:dyDescent="0.25">
      <c r="A121">
        <v>13</v>
      </c>
      <c r="B121">
        <v>159</v>
      </c>
      <c r="C121">
        <v>6</v>
      </c>
      <c r="D121">
        <v>457</v>
      </c>
      <c r="E121">
        <v>200</v>
      </c>
      <c r="F121">
        <v>120.1</v>
      </c>
      <c r="G121" s="7">
        <f t="shared" si="24"/>
        <v>47.281083435176782</v>
      </c>
      <c r="H121">
        <v>2135</v>
      </c>
      <c r="I121" s="7">
        <f t="shared" si="31"/>
        <v>13.427672955974844</v>
      </c>
      <c r="J121" s="31">
        <v>0.81518743254380999</v>
      </c>
      <c r="K121" s="32">
        <f t="shared" si="32"/>
        <v>26.5</v>
      </c>
      <c r="L121" s="33">
        <f t="shared" si="33"/>
        <v>0.57260047281323878</v>
      </c>
      <c r="M121">
        <v>2792</v>
      </c>
      <c r="N121" s="51">
        <v>2641.0852258212526</v>
      </c>
      <c r="O121" s="50">
        <v>1.057141198134498</v>
      </c>
    </row>
    <row r="122" spans="1:15" x14ac:dyDescent="0.25">
      <c r="A122">
        <v>14</v>
      </c>
      <c r="B122">
        <v>159</v>
      </c>
      <c r="C122">
        <v>6</v>
      </c>
      <c r="D122">
        <v>487</v>
      </c>
      <c r="E122">
        <v>200</v>
      </c>
      <c r="F122">
        <v>116</v>
      </c>
      <c r="G122" s="7">
        <f t="shared" si="24"/>
        <v>46.821916525976064</v>
      </c>
      <c r="H122">
        <v>2135</v>
      </c>
      <c r="I122" s="7">
        <f t="shared" si="31"/>
        <v>13.427672955974844</v>
      </c>
      <c r="J122" s="31">
        <v>0.81833630516753297</v>
      </c>
      <c r="K122" s="32">
        <f t="shared" si="32"/>
        <v>26.5</v>
      </c>
      <c r="L122" s="33">
        <f t="shared" si="33"/>
        <v>0.61018912529550828</v>
      </c>
      <c r="M122">
        <v>2193</v>
      </c>
      <c r="N122" s="51">
        <v>2648.1658845539437</v>
      </c>
      <c r="O122" s="50">
        <v>0.82812032765439403</v>
      </c>
    </row>
    <row r="123" spans="1:15" x14ac:dyDescent="0.25">
      <c r="G123" s="7"/>
      <c r="I123" s="7"/>
      <c r="J123" s="31"/>
      <c r="K123" s="32"/>
      <c r="L123" s="33"/>
      <c r="N123" s="52" t="s">
        <v>166</v>
      </c>
      <c r="O123" s="46">
        <f>AVERAGE(O120:O122)</f>
        <v>0.92867361712309504</v>
      </c>
    </row>
    <row r="124" spans="1:15" x14ac:dyDescent="0.25">
      <c r="A124" s="40" t="s">
        <v>172</v>
      </c>
      <c r="B124" s="40">
        <v>2001</v>
      </c>
      <c r="C124" s="40" t="s">
        <v>182</v>
      </c>
      <c r="G124" s="7"/>
      <c r="I124" s="7"/>
      <c r="J124" s="31"/>
      <c r="K124" s="32"/>
      <c r="L124" s="33"/>
      <c r="N124" s="52" t="s">
        <v>176</v>
      </c>
      <c r="O124" s="53">
        <f>STDEV(O120:O122)</f>
        <v>0.11703437756964601</v>
      </c>
    </row>
    <row r="125" spans="1:15" x14ac:dyDescent="0.25">
      <c r="A125" t="s">
        <v>173</v>
      </c>
      <c r="B125">
        <v>114.3</v>
      </c>
      <c r="C125">
        <v>5.9</v>
      </c>
      <c r="D125">
        <v>355</v>
      </c>
      <c r="E125">
        <v>200</v>
      </c>
      <c r="F125">
        <v>107.2</v>
      </c>
      <c r="G125" s="7">
        <f t="shared" si="24"/>
        <v>45.799256159927737</v>
      </c>
      <c r="H125">
        <v>600</v>
      </c>
      <c r="I125" s="7">
        <f t="shared" ref="I125" si="34">(H125/B125)</f>
        <v>5.2493438320209975</v>
      </c>
      <c r="J125" s="31">
        <v>0.28082375597782133</v>
      </c>
      <c r="K125" s="32">
        <f t="shared" ref="K125" si="35">B125/C125</f>
        <v>19.372881355932201</v>
      </c>
      <c r="L125" s="33">
        <f t="shared" ref="L125" si="36">K125/(90*235/D125)</f>
        <v>0.32517129462675798</v>
      </c>
      <c r="M125">
        <v>1990</v>
      </c>
      <c r="N125" s="51">
        <v>1647.7888877547841</v>
      </c>
      <c r="O125" s="50">
        <v>1.2076789780464534</v>
      </c>
    </row>
    <row r="127" spans="1:15" x14ac:dyDescent="0.25">
      <c r="D127">
        <f>COUNTIF(F15:F125, "&gt;75")</f>
        <v>17</v>
      </c>
      <c r="E127" s="55" t="s">
        <v>186</v>
      </c>
      <c r="F127" t="s">
        <v>187</v>
      </c>
      <c r="G127" t="s">
        <v>188</v>
      </c>
      <c r="H127" s="61">
        <f t="array" ref="H127">AVERAGE(IF(F15:F125 &gt;75, O15:O125))</f>
        <v>1.0236266902752444</v>
      </c>
      <c r="M127" s="40" t="s">
        <v>167</v>
      </c>
      <c r="N127" s="40" t="s">
        <v>175</v>
      </c>
      <c r="O127" s="46">
        <f>(O39*24+O47*6+O49+O57*6+O64*5+O75*6+O79*2+O105*24+O109*2+O118*7+O123*3+O125)/87</f>
        <v>1.0930564660344091</v>
      </c>
    </row>
    <row r="128" spans="1:15" x14ac:dyDescent="0.25">
      <c r="D128">
        <f>COUNTIF(F15:F125, "&gt;100")</f>
        <v>10</v>
      </c>
      <c r="E128" s="55" t="s">
        <v>186</v>
      </c>
      <c r="F128" t="s">
        <v>189</v>
      </c>
      <c r="G128" t="s">
        <v>188</v>
      </c>
      <c r="H128" s="61">
        <f t="array" ref="H128">AVERAGE(IF(F15:F125 &gt;100, O15:O125))</f>
        <v>0.89944404571400061</v>
      </c>
      <c r="M128" s="40" t="s">
        <v>167</v>
      </c>
      <c r="N128" s="40" t="s">
        <v>176</v>
      </c>
      <c r="O128" s="53">
        <f>(O40*24+O48*6+O58*6+O65*5+O76*6+O80*2+O106*24+O110*2+O119*7+O124*3)/85</f>
        <v>9.3844381637622737E-2</v>
      </c>
    </row>
  </sheetData>
  <mergeCells count="8">
    <mergeCell ref="G7:L7"/>
    <mergeCell ref="O9:R9"/>
    <mergeCell ref="J10:M10"/>
    <mergeCell ref="A1:F1"/>
    <mergeCell ref="C3:H3"/>
    <mergeCell ref="J4:M4"/>
    <mergeCell ref="A6:D6"/>
    <mergeCell ref="A8:D8"/>
  </mergeCells>
  <pageMargins left="0.7" right="0.7" top="0.75" bottom="0.75" header="0.3" footer="0.3"/>
  <pageSetup paperSize="9" scale="53" orientation="landscape" r:id="rId1"/>
  <rowBreaks count="1" manualBreakCount="1"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09"/>
  <sheetViews>
    <sheetView zoomScale="98" zoomScaleNormal="98" workbookViewId="0">
      <pane xSplit="1" ySplit="8" topLeftCell="H102" activePane="bottomRight" state="frozen"/>
      <selection pane="topRight" activeCell="B1" sqref="B1"/>
      <selection pane="bottomLeft" activeCell="A9" sqref="A9"/>
      <selection pane="bottomRight" activeCell="S109" sqref="S109"/>
    </sheetView>
  </sheetViews>
  <sheetFormatPr defaultRowHeight="15" x14ac:dyDescent="0.25"/>
  <cols>
    <col min="4" max="4" width="9.140625" customWidth="1"/>
  </cols>
  <sheetData>
    <row r="1" spans="1:36" x14ac:dyDescent="0.25">
      <c r="A1" s="59" t="s">
        <v>91</v>
      </c>
      <c r="B1" s="59"/>
      <c r="C1" s="59"/>
      <c r="D1" s="59"/>
      <c r="E1" s="59"/>
      <c r="F1" s="59"/>
      <c r="G1" s="1" t="s">
        <v>0</v>
      </c>
      <c r="H1" s="2" t="s">
        <v>1</v>
      </c>
      <c r="I1" s="3" t="s">
        <v>2</v>
      </c>
      <c r="M1" s="4"/>
      <c r="N1" s="4"/>
      <c r="O1" s="4"/>
      <c r="P1" s="4"/>
    </row>
    <row r="2" spans="1:36" x14ac:dyDescent="0.25">
      <c r="A2" s="5"/>
      <c r="B2" s="5"/>
      <c r="C2" s="6"/>
      <c r="D2" s="5"/>
      <c r="E2" s="5"/>
      <c r="F2" s="7"/>
      <c r="G2" s="8"/>
      <c r="H2" s="4"/>
      <c r="M2" s="4"/>
      <c r="N2" s="4"/>
      <c r="O2" s="4"/>
      <c r="P2" s="4"/>
      <c r="U2" s="4"/>
      <c r="V2" s="4"/>
      <c r="X2" s="4"/>
      <c r="Y2" s="9"/>
      <c r="Z2" s="10"/>
      <c r="AA2" s="10"/>
    </row>
    <row r="3" spans="1:36" x14ac:dyDescent="0.25">
      <c r="C3" s="56" t="s">
        <v>171</v>
      </c>
      <c r="D3" s="56"/>
      <c r="E3" s="56"/>
      <c r="F3" s="56"/>
      <c r="G3" s="56"/>
      <c r="H3" s="56"/>
    </row>
    <row r="4" spans="1:36" x14ac:dyDescent="0.25">
      <c r="B4" s="5" t="s">
        <v>3</v>
      </c>
      <c r="C4" s="11" t="s">
        <v>4</v>
      </c>
      <c r="D4" s="5" t="s">
        <v>5</v>
      </c>
      <c r="E4" s="5" t="s">
        <v>6</v>
      </c>
      <c r="F4" s="12" t="s">
        <v>184</v>
      </c>
      <c r="G4" s="8" t="s">
        <v>8</v>
      </c>
      <c r="H4" s="5" t="s">
        <v>9</v>
      </c>
      <c r="I4" s="4"/>
      <c r="J4" s="57" t="s">
        <v>10</v>
      </c>
      <c r="K4" s="57"/>
      <c r="L4" s="57"/>
      <c r="M4" s="57"/>
    </row>
    <row r="5" spans="1:36" x14ac:dyDescent="0.25">
      <c r="C5" s="11" t="s">
        <v>11</v>
      </c>
      <c r="D5" s="5" t="s">
        <v>12</v>
      </c>
      <c r="E5" s="5" t="s">
        <v>13</v>
      </c>
      <c r="F5" s="8" t="s">
        <v>14</v>
      </c>
      <c r="G5" s="8" t="s">
        <v>15</v>
      </c>
      <c r="N5" s="5" t="s">
        <v>16</v>
      </c>
      <c r="O5" s="13" t="s">
        <v>17</v>
      </c>
      <c r="P5" s="13" t="s">
        <v>18</v>
      </c>
      <c r="Q5" s="5" t="s">
        <v>19</v>
      </c>
      <c r="R5" s="14" t="s">
        <v>20</v>
      </c>
      <c r="S5" s="15"/>
      <c r="T5" s="15"/>
      <c r="U5" s="5" t="s">
        <v>21</v>
      </c>
      <c r="V5" s="5" t="s">
        <v>22</v>
      </c>
      <c r="W5" s="6" t="s">
        <v>23</v>
      </c>
      <c r="X5" s="5" t="s">
        <v>23</v>
      </c>
      <c r="Y5" s="16" t="s">
        <v>23</v>
      </c>
      <c r="Z5" s="5" t="s">
        <v>23</v>
      </c>
      <c r="AA5" s="5" t="s">
        <v>24</v>
      </c>
      <c r="AB5" s="5" t="s">
        <v>25</v>
      </c>
      <c r="AC5" s="5" t="s">
        <v>26</v>
      </c>
      <c r="AD5" s="17" t="s">
        <v>27</v>
      </c>
      <c r="AE5" s="5" t="s">
        <v>28</v>
      </c>
      <c r="AF5" s="17" t="s">
        <v>29</v>
      </c>
      <c r="AG5" s="5" t="s">
        <v>30</v>
      </c>
      <c r="AJ5" s="11" t="s">
        <v>31</v>
      </c>
    </row>
    <row r="6" spans="1:36" x14ac:dyDescent="0.25">
      <c r="L6" s="18" t="s">
        <v>32</v>
      </c>
      <c r="M6" s="14" t="s">
        <v>33</v>
      </c>
      <c r="P6" s="19" t="s">
        <v>34</v>
      </c>
      <c r="Q6" s="14" t="s">
        <v>35</v>
      </c>
      <c r="R6" s="14" t="s">
        <v>36</v>
      </c>
      <c r="S6" s="20" t="s">
        <v>37</v>
      </c>
      <c r="T6" s="21" t="s">
        <v>38</v>
      </c>
      <c r="U6" s="19" t="s">
        <v>39</v>
      </c>
      <c r="AE6" s="19" t="s">
        <v>40</v>
      </c>
      <c r="AF6" t="s">
        <v>41</v>
      </c>
    </row>
    <row r="7" spans="1:36" x14ac:dyDescent="0.25">
      <c r="A7" s="14" t="s">
        <v>42</v>
      </c>
      <c r="B7" s="14" t="s">
        <v>43</v>
      </c>
      <c r="C7" s="22" t="s">
        <v>44</v>
      </c>
      <c r="D7" s="14" t="s">
        <v>45</v>
      </c>
      <c r="E7" s="14" t="s">
        <v>46</v>
      </c>
      <c r="F7" s="23" t="s">
        <v>47</v>
      </c>
      <c r="G7" s="3" t="s">
        <v>185</v>
      </c>
      <c r="H7" s="14" t="s">
        <v>49</v>
      </c>
      <c r="I7" s="23" t="s">
        <v>50</v>
      </c>
      <c r="J7" s="24" t="s">
        <v>51</v>
      </c>
      <c r="K7" s="25" t="s">
        <v>52</v>
      </c>
      <c r="L7" s="25" t="s">
        <v>53</v>
      </c>
      <c r="M7" s="14" t="s">
        <v>54</v>
      </c>
      <c r="N7" s="14" t="s">
        <v>55</v>
      </c>
      <c r="O7" s="14" t="s">
        <v>56</v>
      </c>
      <c r="P7" s="26" t="s">
        <v>57</v>
      </c>
      <c r="Q7" s="14" t="s">
        <v>58</v>
      </c>
      <c r="R7" s="14" t="s">
        <v>35</v>
      </c>
      <c r="S7" s="26" t="s">
        <v>59</v>
      </c>
      <c r="T7" s="27" t="s">
        <v>60</v>
      </c>
      <c r="U7" s="13" t="s">
        <v>61</v>
      </c>
      <c r="V7" s="5" t="s">
        <v>62</v>
      </c>
      <c r="W7" s="6" t="s">
        <v>63</v>
      </c>
      <c r="X7" s="5" t="s">
        <v>64</v>
      </c>
      <c r="Y7" s="16" t="s">
        <v>65</v>
      </c>
      <c r="Z7" s="5" t="s">
        <v>66</v>
      </c>
      <c r="AA7" s="5" t="s">
        <v>67</v>
      </c>
      <c r="AB7" s="5" t="s">
        <v>68</v>
      </c>
      <c r="AC7" s="5" t="s">
        <v>34</v>
      </c>
      <c r="AD7" s="5" t="s">
        <v>69</v>
      </c>
    </row>
    <row r="8" spans="1:36" x14ac:dyDescent="0.25">
      <c r="A8" s="15"/>
      <c r="B8" s="14" t="s">
        <v>70</v>
      </c>
      <c r="C8" s="22" t="s">
        <v>70</v>
      </c>
      <c r="D8" s="14" t="s">
        <v>71</v>
      </c>
      <c r="E8" s="14" t="s">
        <v>72</v>
      </c>
      <c r="F8" s="23" t="s">
        <v>71</v>
      </c>
      <c r="G8" s="3" t="s">
        <v>72</v>
      </c>
      <c r="H8" s="14" t="s">
        <v>70</v>
      </c>
      <c r="I8" s="15"/>
      <c r="J8" s="24" t="s">
        <v>73</v>
      </c>
      <c r="K8" s="25"/>
      <c r="L8" s="25" t="s">
        <v>74</v>
      </c>
      <c r="M8" s="14" t="s">
        <v>75</v>
      </c>
      <c r="N8" s="14" t="s">
        <v>76</v>
      </c>
      <c r="O8" s="14" t="s">
        <v>75</v>
      </c>
      <c r="P8" s="26" t="s">
        <v>77</v>
      </c>
      <c r="Q8" s="14" t="s">
        <v>78</v>
      </c>
      <c r="R8" s="14" t="s">
        <v>78</v>
      </c>
      <c r="S8" s="15"/>
      <c r="T8" s="18" t="s">
        <v>57</v>
      </c>
      <c r="U8" s="5" t="s">
        <v>70</v>
      </c>
      <c r="V8" s="5" t="s">
        <v>79</v>
      </c>
      <c r="W8" s="6" t="s">
        <v>70</v>
      </c>
      <c r="X8" s="5" t="s">
        <v>80</v>
      </c>
      <c r="Z8" s="5" t="s">
        <v>81</v>
      </c>
      <c r="AC8" s="5" t="s">
        <v>82</v>
      </c>
      <c r="AD8" s="5" t="s">
        <v>83</v>
      </c>
      <c r="AE8" s="5" t="s">
        <v>84</v>
      </c>
      <c r="AF8" s="5" t="s">
        <v>85</v>
      </c>
      <c r="AG8" s="5" t="s">
        <v>86</v>
      </c>
      <c r="AH8" s="5" t="s">
        <v>87</v>
      </c>
      <c r="AI8" s="28" t="s">
        <v>88</v>
      </c>
      <c r="AJ8" s="6" t="s">
        <v>89</v>
      </c>
    </row>
    <row r="9" spans="1:36" x14ac:dyDescent="0.25">
      <c r="A9" s="26" t="s">
        <v>90</v>
      </c>
      <c r="B9" s="26">
        <v>1970</v>
      </c>
      <c r="C9" s="29" t="s">
        <v>180</v>
      </c>
      <c r="D9" s="13"/>
      <c r="E9" s="4"/>
      <c r="F9" s="19" t="s">
        <v>155</v>
      </c>
      <c r="M9" s="4"/>
    </row>
    <row r="10" spans="1:36" x14ac:dyDescent="0.25">
      <c r="A10">
        <v>1</v>
      </c>
      <c r="B10">
        <v>218.25</v>
      </c>
      <c r="C10">
        <v>6.05</v>
      </c>
      <c r="D10" s="4">
        <v>308</v>
      </c>
      <c r="E10" s="4">
        <v>200</v>
      </c>
      <c r="F10" s="38">
        <v>32.08</v>
      </c>
      <c r="G10" s="7">
        <f>22*((F10+8)/10)^0.3</f>
        <v>33.365757932536809</v>
      </c>
      <c r="H10">
        <v>4365</v>
      </c>
      <c r="I10" s="7">
        <f>(H10/B10)</f>
        <v>20</v>
      </c>
      <c r="J10" s="31">
        <f t="shared" ref="J10" si="0">SQRT((64*AC10*H10*H10)/(PI()^3*((B10^4-(B10-2*C10)^4)*E10+(B10-2*C10)^4*G10*0.8/1.35)))</f>
        <v>0.8420897666202023</v>
      </c>
      <c r="K10" s="32">
        <f>B10/C10</f>
        <v>36.074380165289256</v>
      </c>
      <c r="L10" s="33">
        <f>K10/(90*235/D10)</f>
        <v>0.52533849129593801</v>
      </c>
      <c r="M10">
        <v>1750</v>
      </c>
      <c r="N10" s="4">
        <f>ROUND((0.85*F10*(B10-2*C10)^2+D10*(B10*B10-(B10-2*C10)^2))*PI()/4000,0)</f>
        <v>2152</v>
      </c>
      <c r="O10" s="4">
        <f>ROUND((0.85*F10+6*C10*D10/(B10-2*C10))*PI()*(B10-2*C10)^2/4000,0)</f>
        <v>2720</v>
      </c>
      <c r="P10" s="34">
        <f>PI()*((B10*B10-(B10-2*C10)^2)*D10+(B10-2*C10)^2*F10)/4000</f>
        <v>2312.9850765140695</v>
      </c>
      <c r="Q10" s="35">
        <f t="shared" ref="Q10" si="1">0.00025*PI()*((B10*B10-(B10-2*C10)^2)*D10*AH10+F10*(B10-2*C10)^2*(1+AG10*C10*D10/(B10*F10)))</f>
        <v>2312.9850765140695</v>
      </c>
      <c r="R10" s="35">
        <f t="shared" ref="R10" si="2">AI10*Q10</f>
        <v>1782.8141086589933</v>
      </c>
      <c r="S10" s="30">
        <f>M10/R10</f>
        <v>0.98159420631707051</v>
      </c>
      <c r="T10" s="36">
        <f>(PI()*(B10-C10)*C10*D10)/(1000*P10)</f>
        <v>0.53706705525768161</v>
      </c>
      <c r="X10" s="4">
        <v>290</v>
      </c>
      <c r="Y10" s="37">
        <v>0</v>
      </c>
      <c r="Z10" s="4">
        <v>4</v>
      </c>
      <c r="AC10" s="35">
        <f>0.00025*PI()*((B10*B10-(B10-2*C10)^2)*D10+F10*(B10-2*C10)^2)</f>
        <v>2312.9850765140695</v>
      </c>
      <c r="AD10" s="4">
        <f t="shared" ref="AD10" si="3">SQRT((64*AC10*H10*H10)/(PI()^3*((B10^4-(B10-2*C10)^4)*E10+(B10-2*C10)^4*G10*0.6)))</f>
        <v>0.84062845628418514</v>
      </c>
      <c r="AE10" s="4">
        <f>IF(AD10&gt;0.5,0,AJ10)</f>
        <v>0</v>
      </c>
      <c r="AF10" s="4">
        <f>IF((0.25*(3+2*AD10))&gt;1,1,(0.25*(3+2*AD10)))</f>
        <v>1</v>
      </c>
      <c r="AG10" s="4">
        <f>AE10</f>
        <v>0</v>
      </c>
      <c r="AH10" s="4">
        <f>AF10</f>
        <v>1</v>
      </c>
      <c r="AI10" s="31">
        <f>IF(J10&lt;0.2,1,1/(0.5*(1+0.21*(J10-0.2)+J10*J10)+SQRT((0.5*(1+0.21*(J10-0.2)+J10*J10))^2-J10*J10)))</f>
        <v>0.77078495955793025</v>
      </c>
      <c r="AJ10" s="30">
        <f>IF((4.9-18.5*AD10+17*AD10*AD10)&lt;0,0,(4.9-18.5*AD10+17*AD10*AD10))</f>
        <v>1.3615289844930203</v>
      </c>
    </row>
    <row r="11" spans="1:36" x14ac:dyDescent="0.25">
      <c r="A11">
        <v>2</v>
      </c>
      <c r="B11">
        <v>218.25</v>
      </c>
      <c r="C11">
        <v>6.45</v>
      </c>
      <c r="D11" s="4">
        <v>308</v>
      </c>
      <c r="E11" s="4">
        <v>200</v>
      </c>
      <c r="F11" s="38">
        <v>34.4</v>
      </c>
      <c r="G11" s="7">
        <f t="shared" ref="G11:G75" si="4">22*((F11+8)/10)^0.3</f>
        <v>33.933795463795462</v>
      </c>
      <c r="H11">
        <v>3285</v>
      </c>
      <c r="I11" s="7">
        <f t="shared" ref="I11:I33" si="5">(H11/B11)</f>
        <v>15.051546391752577</v>
      </c>
      <c r="J11" s="31">
        <f t="shared" ref="J11:J33" si="6">SQRT((64*AC11*H11*H11)/(PI()^3*((B11^4-(B11-2*C11)^4)*E11+(B11-2*C11)^4*G11*0.8/1.35)))</f>
        <v>0.63985145900206308</v>
      </c>
      <c r="K11" s="32">
        <f t="shared" ref="K11:K33" si="7">B11/C11</f>
        <v>33.837209302325583</v>
      </c>
      <c r="L11" s="33">
        <f t="shared" ref="L11:L33" si="8">K11/(90*235/D11)</f>
        <v>0.49275936005277915</v>
      </c>
      <c r="M11" s="4">
        <v>2105</v>
      </c>
      <c r="N11" s="4">
        <f t="shared" ref="N11:N32" si="9">ROUND((0.85*F11*(B11-2*C11)^2+D11*(B11*B11-(B11-2*C11)^2))*PI()/4000,0)</f>
        <v>2290</v>
      </c>
      <c r="O11" s="4">
        <f t="shared" ref="O11:O33" si="10">ROUND((0.85*F11+6*C11*D11/(B11-2*C11))*PI()*(B11-2*C11)^2/4000,0)</f>
        <v>2891</v>
      </c>
      <c r="P11" s="34">
        <f t="shared" ref="P11:P33" si="11">PI()*((B11*B11-(B11-2*C11)^2)*D11+(B11-2*C11)^2*F11)/4000</f>
        <v>2461.1614891774411</v>
      </c>
      <c r="Q11" s="35">
        <f t="shared" ref="Q11:Q33" si="12">0.00025*PI()*((B11*B11-(B11-2*C11)^2)*D11*AH11+F11*(B11-2*C11)^2*(1+AG11*C11*D11/(B11*F11)))</f>
        <v>2461.1614891774416</v>
      </c>
      <c r="R11" s="35">
        <f t="shared" ref="R11:R33" si="13">AI11*Q11</f>
        <v>2151.6306665357383</v>
      </c>
      <c r="S11" s="30">
        <f t="shared" ref="S11:S33" si="14">M11/R11</f>
        <v>0.97832775519470694</v>
      </c>
      <c r="T11" s="36">
        <f t="shared" ref="T11:T33" si="15">(PI()*(B11-C11)*C11*D11)/(1000*P11)</f>
        <v>0.53708886512782938</v>
      </c>
      <c r="X11" s="4">
        <v>290</v>
      </c>
      <c r="Y11" s="37">
        <v>0</v>
      </c>
      <c r="Z11" s="4">
        <v>4</v>
      </c>
      <c r="AC11" s="35">
        <f t="shared" ref="AC11:AC33" si="16">0.00025*PI()*((B11*B11-(B11-2*C11)^2)*D11+F11*(B11-2*C11)^2)</f>
        <v>2461.1614891774416</v>
      </c>
      <c r="AD11" s="4">
        <f t="shared" ref="AD11:AD33" si="17">SQRT((64*AC11*H11*H11)/(PI()^3*((B11^4-(B11-2*C11)^4)*E11+(B11-2*C11)^4*G11*0.6)))</f>
        <v>0.63878619276015414</v>
      </c>
      <c r="AE11" s="4">
        <f t="shared" ref="AE11:AE33" si="18">IF(AD11&gt;0.5,0,AJ11)</f>
        <v>0</v>
      </c>
      <c r="AF11" s="4">
        <f t="shared" ref="AF11:AF33" si="19">IF((0.25*(3+2*AD11))&gt;1,1,(0.25*(3+2*AD11)))</f>
        <v>1</v>
      </c>
      <c r="AG11" s="4">
        <f t="shared" ref="AG11:AG33" si="20">AE11</f>
        <v>0</v>
      </c>
      <c r="AH11" s="4">
        <f t="shared" ref="AH11:AH33" si="21">AF11</f>
        <v>1</v>
      </c>
      <c r="AI11" s="31">
        <f t="shared" ref="AI11:AI33" si="22">IF(J11&lt;0.2,1,1/(0.5*(1+0.21*(J11-0.2)+J11*J11)+SQRT((0.5*(1+0.21*(J11-0.2)+J11*J11))^2-J11*J11)))</f>
        <v>0.8742338428409453</v>
      </c>
      <c r="AJ11" s="30">
        <f t="shared" ref="AJ11:AJ33" si="23">IF((4.9-18.5*AD11+17*AD11*AD11)&lt;0,0,(4.9-18.5*AD11+17*AD11*AD11))</f>
        <v>1.9268034974366799E-2</v>
      </c>
    </row>
    <row r="12" spans="1:36" x14ac:dyDescent="0.25">
      <c r="A12">
        <v>3</v>
      </c>
      <c r="B12">
        <v>218.25</v>
      </c>
      <c r="C12">
        <v>6.3</v>
      </c>
      <c r="D12" s="4">
        <v>308</v>
      </c>
      <c r="E12" s="4">
        <v>200</v>
      </c>
      <c r="F12" s="38">
        <v>30.240000000000002</v>
      </c>
      <c r="G12" s="7">
        <f t="shared" si="4"/>
        <v>32.898647645123965</v>
      </c>
      <c r="H12">
        <v>2204</v>
      </c>
      <c r="I12" s="7">
        <f t="shared" si="5"/>
        <v>10.098510882016036</v>
      </c>
      <c r="J12" s="31">
        <f t="shared" si="6"/>
        <v>0.41936190235774812</v>
      </c>
      <c r="K12" s="32">
        <f t="shared" si="7"/>
        <v>34.642857142857146</v>
      </c>
      <c r="L12" s="33">
        <f t="shared" si="8"/>
        <v>0.50449172576832146</v>
      </c>
      <c r="M12" s="4">
        <v>2460</v>
      </c>
      <c r="N12" s="4">
        <f t="shared" si="9"/>
        <v>2146</v>
      </c>
      <c r="O12" s="4">
        <f t="shared" si="10"/>
        <v>2734</v>
      </c>
      <c r="P12" s="34">
        <f t="shared" si="11"/>
        <v>2296.4876236295308</v>
      </c>
      <c r="Q12" s="35">
        <f t="shared" si="12"/>
        <v>2283.6525132350994</v>
      </c>
      <c r="R12" s="35">
        <f t="shared" si="13"/>
        <v>2164.0288143093817</v>
      </c>
      <c r="S12" s="30">
        <f t="shared" si="14"/>
        <v>1.1367685974112471</v>
      </c>
      <c r="T12" s="36">
        <f t="shared" si="15"/>
        <v>0.562613890452481</v>
      </c>
      <c r="X12" s="4">
        <v>290</v>
      </c>
      <c r="Y12" s="37">
        <v>0</v>
      </c>
      <c r="Z12" s="4">
        <v>4</v>
      </c>
      <c r="AC12" s="35">
        <f t="shared" si="16"/>
        <v>2296.4876236295313</v>
      </c>
      <c r="AD12" s="4">
        <f t="shared" si="17"/>
        <v>0.41866560343237291</v>
      </c>
      <c r="AE12" s="4">
        <f t="shared" si="18"/>
        <v>0.13446142395678162</v>
      </c>
      <c r="AF12" s="4">
        <f t="shared" si="19"/>
        <v>0.9593328017161864</v>
      </c>
      <c r="AG12" s="4">
        <f t="shared" si="20"/>
        <v>0.13446142395678162</v>
      </c>
      <c r="AH12" s="4">
        <f t="shared" si="21"/>
        <v>0.9593328017161864</v>
      </c>
      <c r="AI12" s="31">
        <f t="shared" si="22"/>
        <v>0.94761738126425599</v>
      </c>
      <c r="AJ12" s="30">
        <f t="shared" si="23"/>
        <v>0.13446142395678162</v>
      </c>
    </row>
    <row r="13" spans="1:36" x14ac:dyDescent="0.25">
      <c r="A13">
        <v>4</v>
      </c>
      <c r="B13">
        <v>218.25</v>
      </c>
      <c r="C13">
        <v>6.5</v>
      </c>
      <c r="D13" s="4">
        <v>308</v>
      </c>
      <c r="E13" s="4">
        <v>200</v>
      </c>
      <c r="F13" s="38">
        <v>30.240000000000002</v>
      </c>
      <c r="G13" s="7">
        <f t="shared" si="4"/>
        <v>32.898647645123965</v>
      </c>
      <c r="H13">
        <v>943</v>
      </c>
      <c r="I13" s="7">
        <f t="shared" si="5"/>
        <v>4.3207331042382586</v>
      </c>
      <c r="J13" s="31">
        <f t="shared" si="6"/>
        <v>0.17911778499820946</v>
      </c>
      <c r="K13" s="32">
        <f t="shared" si="7"/>
        <v>33.57692307692308</v>
      </c>
      <c r="L13" s="33">
        <f t="shared" si="8"/>
        <v>0.48896890343698857</v>
      </c>
      <c r="M13" s="4">
        <v>2810</v>
      </c>
      <c r="N13" s="4">
        <f t="shared" si="9"/>
        <v>2182</v>
      </c>
      <c r="O13" s="4">
        <f t="shared" si="10"/>
        <v>2787</v>
      </c>
      <c r="P13" s="34">
        <f t="shared" si="11"/>
        <v>2332.3431182132281</v>
      </c>
      <c r="Q13" s="35">
        <f t="shared" si="12"/>
        <v>2766.5592739340746</v>
      </c>
      <c r="R13" s="35">
        <f t="shared" si="13"/>
        <v>2766.5592739340746</v>
      </c>
      <c r="S13" s="30">
        <f t="shared" si="14"/>
        <v>1.0157020767547671</v>
      </c>
      <c r="T13" s="36">
        <f t="shared" si="15"/>
        <v>0.57101159039770288</v>
      </c>
      <c r="X13" s="4">
        <v>290</v>
      </c>
      <c r="Y13" s="37">
        <v>0</v>
      </c>
      <c r="Z13" s="4">
        <v>4</v>
      </c>
      <c r="AC13" s="35">
        <f t="shared" si="16"/>
        <v>2332.3431182132281</v>
      </c>
      <c r="AD13" s="4">
        <f t="shared" si="17"/>
        <v>0.17882820889109033</v>
      </c>
      <c r="AE13" s="4">
        <f t="shared" si="18"/>
        <v>2.1353301165331517</v>
      </c>
      <c r="AF13" s="4">
        <f t="shared" si="19"/>
        <v>0.83941410444554521</v>
      </c>
      <c r="AG13" s="4">
        <f t="shared" si="20"/>
        <v>2.1353301165331517</v>
      </c>
      <c r="AH13" s="4">
        <f t="shared" si="21"/>
        <v>0.83941410444554521</v>
      </c>
      <c r="AI13" s="31">
        <f t="shared" si="22"/>
        <v>1</v>
      </c>
      <c r="AJ13" s="30">
        <f t="shared" si="23"/>
        <v>2.1353301165331517</v>
      </c>
    </row>
    <row r="14" spans="1:36" x14ac:dyDescent="0.25">
      <c r="A14">
        <v>5</v>
      </c>
      <c r="B14">
        <v>218.5</v>
      </c>
      <c r="C14">
        <v>6.375</v>
      </c>
      <c r="D14" s="4">
        <v>308</v>
      </c>
      <c r="E14" s="4">
        <v>200</v>
      </c>
      <c r="F14" s="38">
        <v>30.240000000000002</v>
      </c>
      <c r="G14" s="7">
        <f t="shared" si="4"/>
        <v>32.898647645123965</v>
      </c>
      <c r="H14">
        <v>941.5</v>
      </c>
      <c r="I14" s="7">
        <f t="shared" si="5"/>
        <v>4.3089244851258579</v>
      </c>
      <c r="J14" s="31">
        <f t="shared" si="6"/>
        <v>0.17883051689586973</v>
      </c>
      <c r="K14" s="32">
        <f t="shared" si="7"/>
        <v>34.274509803921568</v>
      </c>
      <c r="L14" s="33">
        <f t="shared" si="8"/>
        <v>0.49912761322022892</v>
      </c>
      <c r="M14" s="4">
        <v>2800</v>
      </c>
      <c r="N14" s="4">
        <f t="shared" si="9"/>
        <v>2163</v>
      </c>
      <c r="O14" s="4">
        <f t="shared" si="10"/>
        <v>2758</v>
      </c>
      <c r="P14" s="34">
        <f t="shared" si="11"/>
        <v>2313.9255862594296</v>
      </c>
      <c r="Q14" s="35">
        <f t="shared" si="12"/>
        <v>2742.6824852735881</v>
      </c>
      <c r="R14" s="35">
        <f t="shared" si="13"/>
        <v>2742.6824852735881</v>
      </c>
      <c r="S14" s="30">
        <f t="shared" si="14"/>
        <v>1.0208983413261177</v>
      </c>
      <c r="T14" s="36">
        <f t="shared" si="15"/>
        <v>0.56548780720764547</v>
      </c>
      <c r="X14" s="4">
        <v>290</v>
      </c>
      <c r="Y14" s="37">
        <v>0</v>
      </c>
      <c r="Z14" s="4">
        <v>4</v>
      </c>
      <c r="AC14" s="35">
        <f t="shared" si="16"/>
        <v>2313.9255862594291</v>
      </c>
      <c r="AD14" s="4">
        <f t="shared" si="17"/>
        <v>0.17853627448717238</v>
      </c>
      <c r="AE14" s="4">
        <f t="shared" si="18"/>
        <v>2.1389573442192136</v>
      </c>
      <c r="AF14" s="4">
        <f t="shared" si="19"/>
        <v>0.83926813724358618</v>
      </c>
      <c r="AG14" s="4">
        <f t="shared" si="20"/>
        <v>2.1389573442192136</v>
      </c>
      <c r="AH14" s="4">
        <f t="shared" si="21"/>
        <v>0.83926813724358618</v>
      </c>
      <c r="AI14" s="31">
        <f t="shared" si="22"/>
        <v>1</v>
      </c>
      <c r="AJ14" s="30">
        <f t="shared" si="23"/>
        <v>2.1389573442192136</v>
      </c>
    </row>
    <row r="15" spans="1:36" x14ac:dyDescent="0.25">
      <c r="A15">
        <v>6</v>
      </c>
      <c r="B15">
        <v>219.25</v>
      </c>
      <c r="C15">
        <v>6.05</v>
      </c>
      <c r="D15" s="4">
        <v>308</v>
      </c>
      <c r="E15" s="4">
        <v>200</v>
      </c>
      <c r="F15" s="38">
        <v>30.240000000000002</v>
      </c>
      <c r="G15" s="7">
        <f t="shared" si="4"/>
        <v>32.898647645123965</v>
      </c>
      <c r="H15">
        <v>941.5</v>
      </c>
      <c r="I15" s="7">
        <f t="shared" si="5"/>
        <v>4.2941847206385404</v>
      </c>
      <c r="J15" s="31">
        <f t="shared" si="6"/>
        <v>0.17878387324020317</v>
      </c>
      <c r="K15" s="32">
        <f t="shared" si="7"/>
        <v>36.239669421487605</v>
      </c>
      <c r="L15" s="33">
        <f t="shared" si="8"/>
        <v>0.52774554051149791</v>
      </c>
      <c r="M15" s="4">
        <v>2860</v>
      </c>
      <c r="N15" s="4">
        <f t="shared" si="9"/>
        <v>2114</v>
      </c>
      <c r="O15" s="4">
        <f t="shared" si="10"/>
        <v>2685</v>
      </c>
      <c r="P15" s="34">
        <f t="shared" si="11"/>
        <v>2267.2401877059579</v>
      </c>
      <c r="Q15" s="35">
        <f t="shared" si="12"/>
        <v>2679.4842940526569</v>
      </c>
      <c r="R15" s="35">
        <f t="shared" si="13"/>
        <v>2679.4842940526569</v>
      </c>
      <c r="S15" s="30">
        <f t="shared" si="14"/>
        <v>1.0673695704610073</v>
      </c>
      <c r="T15" s="36">
        <f t="shared" si="15"/>
        <v>0.55048518212440034</v>
      </c>
      <c r="X15" s="4">
        <v>290</v>
      </c>
      <c r="Y15" s="37">
        <v>0</v>
      </c>
      <c r="Z15" s="4">
        <v>4</v>
      </c>
      <c r="AC15" s="35">
        <f t="shared" si="16"/>
        <v>2267.2401877059579</v>
      </c>
      <c r="AD15" s="4">
        <f t="shared" si="17"/>
        <v>0.17847559271018906</v>
      </c>
      <c r="AE15" s="4">
        <f t="shared" si="18"/>
        <v>2.1397116671468086</v>
      </c>
      <c r="AF15" s="4">
        <f t="shared" si="19"/>
        <v>0.83923779635509455</v>
      </c>
      <c r="AG15" s="4">
        <f t="shared" si="20"/>
        <v>2.1397116671468086</v>
      </c>
      <c r="AH15" s="4">
        <f t="shared" si="21"/>
        <v>0.83923779635509455</v>
      </c>
      <c r="AI15" s="31">
        <f t="shared" si="22"/>
        <v>1</v>
      </c>
      <c r="AJ15" s="30">
        <f t="shared" si="23"/>
        <v>2.1397116671468086</v>
      </c>
    </row>
    <row r="16" spans="1:36" x14ac:dyDescent="0.25">
      <c r="A16">
        <v>8.1</v>
      </c>
      <c r="B16">
        <v>95</v>
      </c>
      <c r="C16">
        <v>3.8</v>
      </c>
      <c r="D16" s="4">
        <v>287</v>
      </c>
      <c r="E16" s="4">
        <v>200</v>
      </c>
      <c r="F16" s="38">
        <v>32.08</v>
      </c>
      <c r="G16" s="7">
        <f t="shared" si="4"/>
        <v>33.365757932536809</v>
      </c>
      <c r="H16">
        <v>4318</v>
      </c>
      <c r="I16" s="7">
        <f t="shared" si="5"/>
        <v>45.452631578947368</v>
      </c>
      <c r="J16" s="31">
        <f t="shared" si="6"/>
        <v>1.8345829624387213</v>
      </c>
      <c r="K16" s="32">
        <f t="shared" si="7"/>
        <v>25</v>
      </c>
      <c r="L16" s="33">
        <f t="shared" si="8"/>
        <v>0.33924349881796689</v>
      </c>
      <c r="M16" s="4">
        <v>206</v>
      </c>
      <c r="N16" s="4">
        <f t="shared" si="9"/>
        <v>476</v>
      </c>
      <c r="O16" s="4">
        <f t="shared" si="10"/>
        <v>613</v>
      </c>
      <c r="P16" s="34">
        <f t="shared" si="11"/>
        <v>504.93428629231352</v>
      </c>
      <c r="Q16" s="35">
        <f t="shared" si="12"/>
        <v>504.93428629231357</v>
      </c>
      <c r="R16" s="35">
        <f t="shared" si="13"/>
        <v>131.82833697051339</v>
      </c>
      <c r="S16" s="30">
        <f t="shared" si="14"/>
        <v>1.5626382364671483</v>
      </c>
      <c r="T16" s="36">
        <f t="shared" si="15"/>
        <v>0.61883567612828849</v>
      </c>
      <c r="X16" s="4">
        <v>290</v>
      </c>
      <c r="Y16" s="37">
        <v>0</v>
      </c>
      <c r="Z16" s="4">
        <v>4</v>
      </c>
      <c r="AC16" s="35">
        <f t="shared" si="16"/>
        <v>504.93428629231357</v>
      </c>
      <c r="AD16" s="4">
        <f t="shared" si="17"/>
        <v>1.8322960376556168</v>
      </c>
      <c r="AE16" s="4">
        <f t="shared" si="18"/>
        <v>0</v>
      </c>
      <c r="AF16" s="4">
        <f t="shared" si="19"/>
        <v>1</v>
      </c>
      <c r="AG16" s="4">
        <f t="shared" si="20"/>
        <v>0</v>
      </c>
      <c r="AH16" s="4">
        <f t="shared" si="21"/>
        <v>1</v>
      </c>
      <c r="AI16" s="31">
        <f t="shared" si="22"/>
        <v>0.26108018518313908</v>
      </c>
      <c r="AJ16" s="30">
        <f t="shared" si="23"/>
        <v>28.076772386715135</v>
      </c>
    </row>
    <row r="17" spans="1:36" x14ac:dyDescent="0.25">
      <c r="A17">
        <v>8.1999999999999993</v>
      </c>
      <c r="B17">
        <v>95.25</v>
      </c>
      <c r="C17">
        <v>3.7</v>
      </c>
      <c r="D17" s="4">
        <v>287</v>
      </c>
      <c r="E17" s="4">
        <v>200</v>
      </c>
      <c r="F17" s="38">
        <v>32.08</v>
      </c>
      <c r="G17" s="7">
        <f t="shared" si="4"/>
        <v>33.365757932536809</v>
      </c>
      <c r="H17">
        <v>4320</v>
      </c>
      <c r="I17" s="7">
        <f t="shared" si="5"/>
        <v>45.354330708661415</v>
      </c>
      <c r="J17" s="31">
        <f t="shared" si="6"/>
        <v>1.8335340121799031</v>
      </c>
      <c r="K17" s="32">
        <f t="shared" si="7"/>
        <v>25.743243243243242</v>
      </c>
      <c r="L17" s="33">
        <f t="shared" si="8"/>
        <v>0.34932911635039293</v>
      </c>
      <c r="M17" s="4">
        <v>158</v>
      </c>
      <c r="N17" s="4">
        <f t="shared" si="9"/>
        <v>471</v>
      </c>
      <c r="O17" s="4">
        <f t="shared" si="10"/>
        <v>605</v>
      </c>
      <c r="P17" s="34">
        <f t="shared" si="11"/>
        <v>499.86596193286124</v>
      </c>
      <c r="Q17" s="35">
        <f t="shared" si="12"/>
        <v>499.8659619328613</v>
      </c>
      <c r="R17" s="35">
        <f t="shared" si="13"/>
        <v>130.64068621007593</v>
      </c>
      <c r="S17" s="30">
        <f t="shared" si="14"/>
        <v>1.2094241433019504</v>
      </c>
      <c r="T17" s="36">
        <f t="shared" si="15"/>
        <v>0.61099587384480569</v>
      </c>
      <c r="X17" s="4">
        <v>290</v>
      </c>
      <c r="Y17" s="37">
        <v>0</v>
      </c>
      <c r="Z17" s="4">
        <v>4</v>
      </c>
      <c r="AC17" s="35">
        <f t="shared" si="16"/>
        <v>499.8659619328613</v>
      </c>
      <c r="AD17" s="4">
        <f t="shared" si="17"/>
        <v>1.8311823029708552</v>
      </c>
      <c r="AE17" s="4">
        <f t="shared" si="18"/>
        <v>0</v>
      </c>
      <c r="AF17" s="4">
        <f t="shared" si="19"/>
        <v>1</v>
      </c>
      <c r="AG17" s="4">
        <f t="shared" si="20"/>
        <v>0</v>
      </c>
      <c r="AH17" s="4">
        <f t="shared" si="21"/>
        <v>1</v>
      </c>
      <c r="AI17" s="31">
        <f t="shared" si="22"/>
        <v>0.26135143450240111</v>
      </c>
      <c r="AJ17" s="30">
        <f t="shared" si="23"/>
        <v>28.028014049171141</v>
      </c>
    </row>
    <row r="18" spans="1:36" x14ac:dyDescent="0.25">
      <c r="A18">
        <v>8.3000000000000007</v>
      </c>
      <c r="B18">
        <v>95.5</v>
      </c>
      <c r="C18">
        <v>3.625</v>
      </c>
      <c r="D18" s="4">
        <v>287</v>
      </c>
      <c r="E18" s="4">
        <v>200</v>
      </c>
      <c r="F18" s="38">
        <v>32.08</v>
      </c>
      <c r="G18" s="7">
        <f t="shared" si="4"/>
        <v>33.365757932536809</v>
      </c>
      <c r="H18">
        <v>4320</v>
      </c>
      <c r="I18" s="7">
        <f t="shared" si="5"/>
        <v>45.235602094240839</v>
      </c>
      <c r="J18" s="31">
        <f t="shared" si="6"/>
        <v>1.8311064095539566</v>
      </c>
      <c r="K18" s="32">
        <f t="shared" si="7"/>
        <v>26.344827586206897</v>
      </c>
      <c r="L18" s="33">
        <f t="shared" si="8"/>
        <v>0.35749245944403685</v>
      </c>
      <c r="M18" s="4">
        <v>143</v>
      </c>
      <c r="N18" s="4">
        <f t="shared" si="9"/>
        <v>467</v>
      </c>
      <c r="O18" s="4">
        <f t="shared" si="10"/>
        <v>599</v>
      </c>
      <c r="P18" s="34">
        <f t="shared" si="11"/>
        <v>496.51211361919712</v>
      </c>
      <c r="Q18" s="35">
        <f t="shared" si="12"/>
        <v>496.51211361919712</v>
      </c>
      <c r="R18" s="35">
        <f t="shared" si="13"/>
        <v>130.07660934436427</v>
      </c>
      <c r="S18" s="30">
        <f t="shared" si="14"/>
        <v>1.0993521488665376</v>
      </c>
      <c r="T18" s="36">
        <f t="shared" si="15"/>
        <v>0.60479373513373158</v>
      </c>
      <c r="X18" s="4">
        <v>290</v>
      </c>
      <c r="Y18" s="37">
        <v>0</v>
      </c>
      <c r="Z18" s="4">
        <v>4</v>
      </c>
      <c r="AC18" s="35">
        <f t="shared" si="16"/>
        <v>496.51211361919712</v>
      </c>
      <c r="AD18" s="4">
        <f t="shared" si="17"/>
        <v>1.8287050666981952</v>
      </c>
      <c r="AE18" s="4">
        <f t="shared" si="18"/>
        <v>0</v>
      </c>
      <c r="AF18" s="4">
        <f t="shared" si="19"/>
        <v>1</v>
      </c>
      <c r="AG18" s="4">
        <f t="shared" si="20"/>
        <v>0</v>
      </c>
      <c r="AH18" s="4">
        <f t="shared" si="21"/>
        <v>1</v>
      </c>
      <c r="AI18" s="31">
        <f t="shared" si="22"/>
        <v>0.26198073677639877</v>
      </c>
      <c r="AJ18" s="30">
        <f t="shared" si="23"/>
        <v>27.919714022533448</v>
      </c>
    </row>
    <row r="19" spans="1:36" x14ac:dyDescent="0.25">
      <c r="A19">
        <v>9.1</v>
      </c>
      <c r="B19">
        <v>95.25</v>
      </c>
      <c r="C19">
        <v>3.7749999999999999</v>
      </c>
      <c r="D19" s="4">
        <v>287</v>
      </c>
      <c r="E19" s="4">
        <v>200</v>
      </c>
      <c r="F19" s="38">
        <v>34.4</v>
      </c>
      <c r="G19" s="7">
        <f t="shared" si="4"/>
        <v>33.933795463795462</v>
      </c>
      <c r="H19">
        <v>2844</v>
      </c>
      <c r="I19" s="7">
        <f t="shared" si="5"/>
        <v>29.858267716535433</v>
      </c>
      <c r="J19" s="31">
        <f t="shared" si="6"/>
        <v>1.220271516691626</v>
      </c>
      <c r="K19" s="32">
        <f t="shared" si="7"/>
        <v>25.231788079470199</v>
      </c>
      <c r="L19" s="33">
        <f t="shared" si="8"/>
        <v>0.34238880278051759</v>
      </c>
      <c r="M19" s="4">
        <v>285</v>
      </c>
      <c r="N19" s="4">
        <f t="shared" si="9"/>
        <v>488</v>
      </c>
      <c r="O19" s="4">
        <f t="shared" si="10"/>
        <v>624</v>
      </c>
      <c r="P19" s="34">
        <f t="shared" si="11"/>
        <v>519.15257127635846</v>
      </c>
      <c r="Q19" s="35">
        <f t="shared" si="12"/>
        <v>519.15257127635846</v>
      </c>
      <c r="R19" s="35">
        <f t="shared" si="13"/>
        <v>268.5776567671748</v>
      </c>
      <c r="S19" s="30">
        <f t="shared" si="14"/>
        <v>1.0611456047033034</v>
      </c>
      <c r="T19" s="36">
        <f t="shared" si="15"/>
        <v>0.59973049758663677</v>
      </c>
      <c r="X19" s="4">
        <v>290</v>
      </c>
      <c r="Y19" s="37">
        <v>0</v>
      </c>
      <c r="Z19" s="4">
        <v>4</v>
      </c>
      <c r="AC19" s="35">
        <f t="shared" si="16"/>
        <v>519.15257127635846</v>
      </c>
      <c r="AD19" s="4">
        <f t="shared" si="17"/>
        <v>1.2187158347816309</v>
      </c>
      <c r="AE19" s="4">
        <f t="shared" si="18"/>
        <v>0</v>
      </c>
      <c r="AF19" s="4">
        <f t="shared" si="19"/>
        <v>1</v>
      </c>
      <c r="AG19" s="4">
        <f t="shared" si="20"/>
        <v>0</v>
      </c>
      <c r="AH19" s="4">
        <f t="shared" si="21"/>
        <v>1</v>
      </c>
      <c r="AI19" s="31">
        <f t="shared" si="22"/>
        <v>0.51733858527728238</v>
      </c>
      <c r="AJ19" s="30">
        <f t="shared" si="23"/>
        <v>7.6033179176471144</v>
      </c>
    </row>
    <row r="20" spans="1:36" x14ac:dyDescent="0.25">
      <c r="A20">
        <v>9.1999999999999993</v>
      </c>
      <c r="B20">
        <v>95.25</v>
      </c>
      <c r="C20">
        <v>3.7</v>
      </c>
      <c r="D20" s="4">
        <v>287</v>
      </c>
      <c r="E20" s="4">
        <v>200</v>
      </c>
      <c r="F20" s="38">
        <v>34.4</v>
      </c>
      <c r="G20" s="7">
        <f t="shared" si="4"/>
        <v>33.933795463795462</v>
      </c>
      <c r="H20">
        <v>2844</v>
      </c>
      <c r="I20" s="7">
        <f t="shared" si="5"/>
        <v>29.858267716535433</v>
      </c>
      <c r="J20" s="31">
        <f t="shared" si="6"/>
        <v>1.2218012411057373</v>
      </c>
      <c r="K20" s="32">
        <f t="shared" si="7"/>
        <v>25.743243243243242</v>
      </c>
      <c r="L20" s="33">
        <f t="shared" si="8"/>
        <v>0.34932911635039293</v>
      </c>
      <c r="M20" s="4">
        <v>287</v>
      </c>
      <c r="N20" s="4">
        <f t="shared" si="9"/>
        <v>483</v>
      </c>
      <c r="O20" s="4">
        <f t="shared" si="10"/>
        <v>617</v>
      </c>
      <c r="P20" s="34">
        <f t="shared" si="11"/>
        <v>513.92842509938521</v>
      </c>
      <c r="Q20" s="35">
        <f t="shared" si="12"/>
        <v>513.92842509938521</v>
      </c>
      <c r="R20" s="35">
        <f t="shared" si="13"/>
        <v>265.38987029894679</v>
      </c>
      <c r="S20" s="30">
        <f t="shared" si="14"/>
        <v>1.081427861872462</v>
      </c>
      <c r="T20" s="36">
        <f t="shared" si="15"/>
        <v>0.59427738436024546</v>
      </c>
      <c r="X20" s="4">
        <v>290</v>
      </c>
      <c r="Y20" s="37">
        <v>0</v>
      </c>
      <c r="Z20" s="4">
        <v>4</v>
      </c>
      <c r="AC20" s="35">
        <f t="shared" si="16"/>
        <v>513.92842509938521</v>
      </c>
      <c r="AD20" s="4">
        <f t="shared" si="17"/>
        <v>1.2202130680750631</v>
      </c>
      <c r="AE20" s="4">
        <f t="shared" si="18"/>
        <v>0</v>
      </c>
      <c r="AF20" s="4">
        <f t="shared" si="19"/>
        <v>1</v>
      </c>
      <c r="AG20" s="4">
        <f t="shared" si="20"/>
        <v>0</v>
      </c>
      <c r="AH20" s="4">
        <f t="shared" si="21"/>
        <v>1</v>
      </c>
      <c r="AI20" s="31">
        <f t="shared" si="22"/>
        <v>0.51639461321413538</v>
      </c>
      <c r="AJ20" s="30">
        <f t="shared" si="23"/>
        <v>7.6376970761310261</v>
      </c>
    </row>
    <row r="21" spans="1:36" x14ac:dyDescent="0.25">
      <c r="A21">
        <v>9.3000000000000007</v>
      </c>
      <c r="B21">
        <v>95.5</v>
      </c>
      <c r="C21">
        <v>3.8250000000000002</v>
      </c>
      <c r="D21" s="4">
        <v>287</v>
      </c>
      <c r="E21" s="4">
        <v>200</v>
      </c>
      <c r="F21" s="38">
        <v>34.4</v>
      </c>
      <c r="G21" s="7">
        <f t="shared" si="4"/>
        <v>33.933795463795462</v>
      </c>
      <c r="H21">
        <v>2844</v>
      </c>
      <c r="I21" s="7">
        <f t="shared" si="5"/>
        <v>29.780104712041886</v>
      </c>
      <c r="J21" s="31">
        <f t="shared" si="6"/>
        <v>1.2162900144120266</v>
      </c>
      <c r="K21" s="32">
        <f t="shared" si="7"/>
        <v>24.967320261437909</v>
      </c>
      <c r="L21" s="33">
        <f t="shared" si="8"/>
        <v>0.33880004326395646</v>
      </c>
      <c r="M21" s="4">
        <v>297</v>
      </c>
      <c r="N21" s="4">
        <f t="shared" si="9"/>
        <v>493</v>
      </c>
      <c r="O21" s="4">
        <f t="shared" si="10"/>
        <v>632</v>
      </c>
      <c r="P21" s="34">
        <f t="shared" si="11"/>
        <v>524.67762980056875</v>
      </c>
      <c r="Q21" s="35">
        <f t="shared" si="12"/>
        <v>524.67762980056875</v>
      </c>
      <c r="R21" s="35">
        <f t="shared" si="13"/>
        <v>272.7289919910699</v>
      </c>
      <c r="S21" s="30">
        <f t="shared" si="14"/>
        <v>1.0889931350229345</v>
      </c>
      <c r="T21" s="36">
        <f t="shared" si="15"/>
        <v>0.60258952728326087</v>
      </c>
      <c r="X21" s="4">
        <v>290</v>
      </c>
      <c r="Y21" s="37">
        <v>0</v>
      </c>
      <c r="Z21" s="4">
        <v>4</v>
      </c>
      <c r="AC21" s="35">
        <f t="shared" si="16"/>
        <v>524.67762980056875</v>
      </c>
      <c r="AD21" s="4">
        <f t="shared" si="17"/>
        <v>1.2147552474212677</v>
      </c>
      <c r="AE21" s="4">
        <f t="shared" si="18"/>
        <v>0</v>
      </c>
      <c r="AF21" s="4">
        <f t="shared" si="19"/>
        <v>1</v>
      </c>
      <c r="AG21" s="4">
        <f t="shared" si="20"/>
        <v>0</v>
      </c>
      <c r="AH21" s="4">
        <f t="shared" si="21"/>
        <v>1</v>
      </c>
      <c r="AI21" s="31">
        <f t="shared" si="22"/>
        <v>0.519802973293782</v>
      </c>
      <c r="AJ21" s="30">
        <f t="shared" si="23"/>
        <v>7.5127432120441391</v>
      </c>
    </row>
    <row r="22" spans="1:36" x14ac:dyDescent="0.25">
      <c r="A22">
        <v>10.1</v>
      </c>
      <c r="B22">
        <v>95.5</v>
      </c>
      <c r="C22">
        <v>3.7250000000000001</v>
      </c>
      <c r="D22" s="4">
        <v>287</v>
      </c>
      <c r="E22" s="4">
        <v>200</v>
      </c>
      <c r="F22" s="38">
        <v>30.240000000000002</v>
      </c>
      <c r="G22" s="7">
        <f t="shared" si="4"/>
        <v>32.898647645123965</v>
      </c>
      <c r="H22">
        <v>1942.5</v>
      </c>
      <c r="I22" s="7">
        <f t="shared" si="5"/>
        <v>20.340314136125656</v>
      </c>
      <c r="J22" s="31">
        <f t="shared" si="6"/>
        <v>0.81407963423078633</v>
      </c>
      <c r="K22" s="32">
        <f t="shared" si="7"/>
        <v>25.63758389261745</v>
      </c>
      <c r="L22" s="33">
        <f t="shared" si="8"/>
        <v>0.3478953464388278</v>
      </c>
      <c r="M22" s="4">
        <v>370</v>
      </c>
      <c r="N22" s="4">
        <f t="shared" si="9"/>
        <v>465</v>
      </c>
      <c r="O22" s="4">
        <f t="shared" si="10"/>
        <v>600</v>
      </c>
      <c r="P22" s="34">
        <f t="shared" si="11"/>
        <v>492.36782088039632</v>
      </c>
      <c r="Q22" s="35">
        <f t="shared" si="12"/>
        <v>492.36782088039638</v>
      </c>
      <c r="R22" s="35">
        <f t="shared" si="13"/>
        <v>387.76835420829849</v>
      </c>
      <c r="S22" s="30">
        <f t="shared" si="14"/>
        <v>0.95417791571832644</v>
      </c>
      <c r="T22" s="36">
        <f t="shared" si="15"/>
        <v>0.62602658749311957</v>
      </c>
      <c r="X22" s="4">
        <v>290</v>
      </c>
      <c r="Y22" s="37">
        <v>0</v>
      </c>
      <c r="Z22" s="4">
        <v>4</v>
      </c>
      <c r="AC22" s="35">
        <f t="shared" si="16"/>
        <v>492.36782088039638</v>
      </c>
      <c r="AD22" s="4">
        <f t="shared" si="17"/>
        <v>0.81305122311929168</v>
      </c>
      <c r="AE22" s="4">
        <f t="shared" si="18"/>
        <v>0</v>
      </c>
      <c r="AF22" s="4">
        <f t="shared" si="19"/>
        <v>1</v>
      </c>
      <c r="AG22" s="4">
        <f t="shared" si="20"/>
        <v>0</v>
      </c>
      <c r="AH22" s="4">
        <f t="shared" si="21"/>
        <v>1</v>
      </c>
      <c r="AI22" s="31">
        <f t="shared" si="22"/>
        <v>0.78755828013889095</v>
      </c>
      <c r="AJ22" s="30">
        <f t="shared" si="23"/>
        <v>1.0964413263612993</v>
      </c>
    </row>
    <row r="23" spans="1:36" x14ac:dyDescent="0.25">
      <c r="A23">
        <v>10.199999999999999</v>
      </c>
      <c r="B23">
        <v>95.25</v>
      </c>
      <c r="C23">
        <v>3.7749999999999999</v>
      </c>
      <c r="D23" s="4">
        <v>287</v>
      </c>
      <c r="E23" s="4">
        <v>200</v>
      </c>
      <c r="F23" s="38">
        <v>30.240000000000002</v>
      </c>
      <c r="G23" s="7">
        <f t="shared" si="4"/>
        <v>32.898647645123965</v>
      </c>
      <c r="H23">
        <v>1942</v>
      </c>
      <c r="I23" s="7">
        <f t="shared" si="5"/>
        <v>20.388451443569554</v>
      </c>
      <c r="J23" s="31">
        <f t="shared" si="6"/>
        <v>0.81538036059468988</v>
      </c>
      <c r="K23" s="32">
        <f t="shared" si="7"/>
        <v>25.231788079470199</v>
      </c>
      <c r="L23" s="33">
        <f t="shared" si="8"/>
        <v>0.34238880278051759</v>
      </c>
      <c r="M23" s="4">
        <v>415</v>
      </c>
      <c r="N23" s="4">
        <f t="shared" si="9"/>
        <v>467</v>
      </c>
      <c r="O23" s="4">
        <f t="shared" si="10"/>
        <v>603</v>
      </c>
      <c r="P23" s="34">
        <f t="shared" si="11"/>
        <v>494.02315510930464</v>
      </c>
      <c r="Q23" s="35">
        <f t="shared" si="12"/>
        <v>494.0231551093047</v>
      </c>
      <c r="R23" s="35">
        <f t="shared" si="13"/>
        <v>388.69542468724234</v>
      </c>
      <c r="S23" s="30">
        <f t="shared" si="14"/>
        <v>1.0676740029392504</v>
      </c>
      <c r="T23" s="36">
        <f t="shared" si="15"/>
        <v>0.63023691637705626</v>
      </c>
      <c r="X23" s="4">
        <v>290</v>
      </c>
      <c r="Y23" s="37">
        <v>0</v>
      </c>
      <c r="Z23" s="4">
        <v>4</v>
      </c>
      <c r="AC23" s="35">
        <f t="shared" si="16"/>
        <v>494.0231551093047</v>
      </c>
      <c r="AD23" s="4">
        <f t="shared" si="17"/>
        <v>0.81436620068203591</v>
      </c>
      <c r="AE23" s="4">
        <f t="shared" si="18"/>
        <v>0</v>
      </c>
      <c r="AF23" s="4">
        <f t="shared" si="19"/>
        <v>1</v>
      </c>
      <c r="AG23" s="4">
        <f t="shared" si="20"/>
        <v>0</v>
      </c>
      <c r="AH23" s="4">
        <f t="shared" si="21"/>
        <v>1</v>
      </c>
      <c r="AI23" s="31">
        <f t="shared" si="22"/>
        <v>0.78679596425240805</v>
      </c>
      <c r="AJ23" s="30">
        <f t="shared" si="23"/>
        <v>1.108494537208335</v>
      </c>
    </row>
    <row r="24" spans="1:36" x14ac:dyDescent="0.25">
      <c r="A24">
        <v>10.3</v>
      </c>
      <c r="B24">
        <v>95.25</v>
      </c>
      <c r="C24">
        <v>3.7749999999999999</v>
      </c>
      <c r="D24" s="4">
        <v>287</v>
      </c>
      <c r="E24" s="4">
        <v>200</v>
      </c>
      <c r="F24" s="38">
        <v>30.240000000000002</v>
      </c>
      <c r="G24" s="7">
        <f t="shared" si="4"/>
        <v>32.898647645123965</v>
      </c>
      <c r="H24">
        <v>1943.25</v>
      </c>
      <c r="I24" s="7">
        <f t="shared" si="5"/>
        <v>20.401574803149607</v>
      </c>
      <c r="J24" s="31">
        <f t="shared" si="6"/>
        <v>0.81590519347354851</v>
      </c>
      <c r="K24" s="32">
        <f t="shared" si="7"/>
        <v>25.231788079470199</v>
      </c>
      <c r="L24" s="33">
        <f t="shared" si="8"/>
        <v>0.34238880278051759</v>
      </c>
      <c r="M24" s="4">
        <v>415</v>
      </c>
      <c r="N24" s="4">
        <f t="shared" si="9"/>
        <v>467</v>
      </c>
      <c r="O24" s="4">
        <f t="shared" si="10"/>
        <v>603</v>
      </c>
      <c r="P24" s="34">
        <f t="shared" si="11"/>
        <v>494.02315510930464</v>
      </c>
      <c r="Q24" s="35">
        <f t="shared" si="12"/>
        <v>494.0231551093047</v>
      </c>
      <c r="R24" s="35">
        <f t="shared" si="13"/>
        <v>388.54323805436076</v>
      </c>
      <c r="S24" s="30">
        <f t="shared" si="14"/>
        <v>1.0680921950363158</v>
      </c>
      <c r="T24" s="36">
        <f t="shared" si="15"/>
        <v>0.63023691637705626</v>
      </c>
      <c r="X24" s="4">
        <v>290</v>
      </c>
      <c r="Y24" s="37">
        <v>0</v>
      </c>
      <c r="Z24" s="4">
        <v>4</v>
      </c>
      <c r="AC24" s="35">
        <f t="shared" si="16"/>
        <v>494.0231551093047</v>
      </c>
      <c r="AD24" s="4">
        <f t="shared" si="17"/>
        <v>0.81489038078031228</v>
      </c>
      <c r="AE24" s="4">
        <f t="shared" si="18"/>
        <v>0</v>
      </c>
      <c r="AF24" s="4">
        <f t="shared" si="19"/>
        <v>1</v>
      </c>
      <c r="AG24" s="4">
        <f t="shared" si="20"/>
        <v>0</v>
      </c>
      <c r="AH24" s="4">
        <f t="shared" si="21"/>
        <v>1</v>
      </c>
      <c r="AI24" s="31">
        <f t="shared" si="22"/>
        <v>0.78648790858475837</v>
      </c>
      <c r="AJ24" s="30">
        <f t="shared" si="23"/>
        <v>1.1133156112650227</v>
      </c>
    </row>
    <row r="25" spans="1:36" x14ac:dyDescent="0.25">
      <c r="A25">
        <v>11.1</v>
      </c>
      <c r="B25">
        <v>95.5</v>
      </c>
      <c r="C25">
        <v>3.75</v>
      </c>
      <c r="D25" s="4">
        <v>287</v>
      </c>
      <c r="E25" s="4">
        <v>200</v>
      </c>
      <c r="F25" s="38">
        <v>34.4</v>
      </c>
      <c r="G25" s="7">
        <f t="shared" si="4"/>
        <v>33.933795463795462</v>
      </c>
      <c r="H25">
        <v>1469</v>
      </c>
      <c r="I25" s="7">
        <f t="shared" si="5"/>
        <v>15.38219895287958</v>
      </c>
      <c r="J25" s="31">
        <f t="shared" si="6"/>
        <v>0.62901362355232981</v>
      </c>
      <c r="K25" s="32">
        <f t="shared" si="7"/>
        <v>25.466666666666665</v>
      </c>
      <c r="L25" s="33">
        <f t="shared" si="8"/>
        <v>0.34557604412923559</v>
      </c>
      <c r="M25" s="4">
        <v>453</v>
      </c>
      <c r="N25" s="4">
        <f t="shared" si="9"/>
        <v>488</v>
      </c>
      <c r="O25" s="4">
        <f t="shared" si="10"/>
        <v>624</v>
      </c>
      <c r="P25" s="34">
        <f t="shared" si="11"/>
        <v>519.44455600267133</v>
      </c>
      <c r="Q25" s="35">
        <f t="shared" si="12"/>
        <v>519.44455600267133</v>
      </c>
      <c r="R25" s="35">
        <f t="shared" si="13"/>
        <v>456.41205155861832</v>
      </c>
      <c r="S25" s="30">
        <f t="shared" si="14"/>
        <v>0.99252418610120752</v>
      </c>
      <c r="T25" s="36">
        <f t="shared" si="15"/>
        <v>0.5972139051934573</v>
      </c>
      <c r="X25" s="4">
        <v>290</v>
      </c>
      <c r="Y25" s="37">
        <v>0</v>
      </c>
      <c r="Z25" s="4">
        <v>4</v>
      </c>
      <c r="AC25" s="35">
        <f t="shared" si="16"/>
        <v>519.44455600267133</v>
      </c>
      <c r="AD25" s="4">
        <f t="shared" si="17"/>
        <v>0.62820447596586471</v>
      </c>
      <c r="AE25" s="4">
        <f t="shared" si="18"/>
        <v>0</v>
      </c>
      <c r="AF25" s="4">
        <f t="shared" si="19"/>
        <v>1</v>
      </c>
      <c r="AG25" s="4">
        <f t="shared" si="20"/>
        <v>0</v>
      </c>
      <c r="AH25" s="4">
        <f t="shared" si="21"/>
        <v>1</v>
      </c>
      <c r="AI25" s="31">
        <f t="shared" si="22"/>
        <v>0.87865402820059801</v>
      </c>
      <c r="AJ25" s="30">
        <f t="shared" si="23"/>
        <v>0</v>
      </c>
    </row>
    <row r="26" spans="1:36" x14ac:dyDescent="0.25">
      <c r="A26">
        <v>11.2</v>
      </c>
      <c r="B26">
        <v>95.25</v>
      </c>
      <c r="C26">
        <v>3.7250000000000001</v>
      </c>
      <c r="D26" s="4">
        <v>287</v>
      </c>
      <c r="E26" s="4">
        <v>200</v>
      </c>
      <c r="F26" s="38">
        <v>34.4</v>
      </c>
      <c r="G26" s="7">
        <f t="shared" si="4"/>
        <v>33.933795463795462</v>
      </c>
      <c r="H26">
        <v>1466.75</v>
      </c>
      <c r="I26" s="7">
        <f t="shared" si="5"/>
        <v>15.398950131233596</v>
      </c>
      <c r="J26" s="31">
        <f t="shared" si="6"/>
        <v>0.62985876958045062</v>
      </c>
      <c r="K26" s="32">
        <f t="shared" si="7"/>
        <v>25.570469798657719</v>
      </c>
      <c r="L26" s="33">
        <f t="shared" si="8"/>
        <v>0.3469846256366319</v>
      </c>
      <c r="M26" s="4">
        <v>450</v>
      </c>
      <c r="N26" s="4">
        <f t="shared" si="9"/>
        <v>484</v>
      </c>
      <c r="O26" s="4">
        <f t="shared" si="10"/>
        <v>619</v>
      </c>
      <c r="P26" s="34">
        <f t="shared" si="11"/>
        <v>515.6707991162566</v>
      </c>
      <c r="Q26" s="35">
        <f t="shared" si="12"/>
        <v>515.67079911625672</v>
      </c>
      <c r="R26" s="35">
        <f t="shared" si="13"/>
        <v>452.92037875969686</v>
      </c>
      <c r="S26" s="30">
        <f t="shared" si="14"/>
        <v>0.9935521144628241</v>
      </c>
      <c r="T26" s="36">
        <f t="shared" si="15"/>
        <v>0.59610840420371058</v>
      </c>
      <c r="X26" s="4">
        <v>290</v>
      </c>
      <c r="Y26" s="37">
        <v>0</v>
      </c>
      <c r="Z26" s="4">
        <v>4</v>
      </c>
      <c r="AC26" s="35">
        <f t="shared" si="16"/>
        <v>515.67079911625672</v>
      </c>
      <c r="AD26" s="4">
        <f t="shared" si="17"/>
        <v>0.62904534132553758</v>
      </c>
      <c r="AE26" s="4">
        <f t="shared" si="18"/>
        <v>0</v>
      </c>
      <c r="AF26" s="4">
        <f t="shared" si="19"/>
        <v>1</v>
      </c>
      <c r="AG26" s="4">
        <f t="shared" si="20"/>
        <v>0</v>
      </c>
      <c r="AH26" s="4">
        <f t="shared" si="21"/>
        <v>1</v>
      </c>
      <c r="AI26" s="31">
        <f t="shared" si="22"/>
        <v>0.87831302361099384</v>
      </c>
      <c r="AJ26" s="30">
        <f t="shared" si="23"/>
        <v>0</v>
      </c>
    </row>
    <row r="27" spans="1:36" x14ac:dyDescent="0.25">
      <c r="A27">
        <v>11.3</v>
      </c>
      <c r="B27">
        <v>95</v>
      </c>
      <c r="C27">
        <v>3.7</v>
      </c>
      <c r="D27" s="4">
        <v>287</v>
      </c>
      <c r="E27" s="4">
        <v>200</v>
      </c>
      <c r="F27" s="38">
        <v>34.4</v>
      </c>
      <c r="G27" s="7">
        <f t="shared" si="4"/>
        <v>33.933795463795462</v>
      </c>
      <c r="H27">
        <v>1468</v>
      </c>
      <c r="I27" s="7">
        <f t="shared" si="5"/>
        <v>15.452631578947368</v>
      </c>
      <c r="J27" s="31">
        <f t="shared" si="6"/>
        <v>0.63221745497754689</v>
      </c>
      <c r="K27" s="32">
        <f t="shared" si="7"/>
        <v>25.675675675675674</v>
      </c>
      <c r="L27" s="33">
        <f t="shared" si="8"/>
        <v>0.3484122420292633</v>
      </c>
      <c r="M27" s="4">
        <v>505</v>
      </c>
      <c r="N27" s="4">
        <f t="shared" si="9"/>
        <v>481</v>
      </c>
      <c r="O27" s="4">
        <f t="shared" si="10"/>
        <v>615</v>
      </c>
      <c r="P27" s="34">
        <f t="shared" si="11"/>
        <v>511.90934706286777</v>
      </c>
      <c r="Q27" s="35">
        <f t="shared" si="12"/>
        <v>511.90934706286777</v>
      </c>
      <c r="R27" s="35">
        <f t="shared" si="13"/>
        <v>449.12778609098262</v>
      </c>
      <c r="S27" s="30">
        <f t="shared" si="14"/>
        <v>1.1244015971385457</v>
      </c>
      <c r="T27" s="36">
        <f t="shared" si="15"/>
        <v>0.59499211658138651</v>
      </c>
      <c r="X27" s="4">
        <v>290</v>
      </c>
      <c r="Y27" s="37">
        <v>0</v>
      </c>
      <c r="Z27" s="4">
        <v>4</v>
      </c>
      <c r="AC27" s="35">
        <f t="shared" si="16"/>
        <v>511.90934706286777</v>
      </c>
      <c r="AD27" s="4">
        <f t="shared" si="17"/>
        <v>0.6313977383652859</v>
      </c>
      <c r="AE27" s="4">
        <f t="shared" si="18"/>
        <v>0</v>
      </c>
      <c r="AF27" s="4">
        <f t="shared" si="19"/>
        <v>1</v>
      </c>
      <c r="AG27" s="4">
        <f t="shared" si="20"/>
        <v>0</v>
      </c>
      <c r="AH27" s="4">
        <f t="shared" si="21"/>
        <v>1</v>
      </c>
      <c r="AI27" s="31">
        <f t="shared" si="22"/>
        <v>0.87735804917003224</v>
      </c>
      <c r="AJ27" s="30">
        <f t="shared" si="23"/>
        <v>0</v>
      </c>
    </row>
    <row r="28" spans="1:36" x14ac:dyDescent="0.25">
      <c r="A28">
        <v>12.1</v>
      </c>
      <c r="B28">
        <v>95.5</v>
      </c>
      <c r="C28">
        <v>3.7</v>
      </c>
      <c r="D28" s="4">
        <v>287</v>
      </c>
      <c r="E28" s="4">
        <v>200</v>
      </c>
      <c r="F28" s="38">
        <v>34.4</v>
      </c>
      <c r="G28" s="7">
        <f t="shared" si="4"/>
        <v>33.933795463795462</v>
      </c>
      <c r="H28">
        <v>997.5</v>
      </c>
      <c r="I28" s="7">
        <f t="shared" si="5"/>
        <v>10.445026178010471</v>
      </c>
      <c r="J28" s="31">
        <f t="shared" si="6"/>
        <v>0.42748159322904172</v>
      </c>
      <c r="K28" s="32">
        <f t="shared" si="7"/>
        <v>25.810810810810811</v>
      </c>
      <c r="L28" s="33">
        <f t="shared" si="8"/>
        <v>0.35024599067152257</v>
      </c>
      <c r="M28" s="4">
        <v>535</v>
      </c>
      <c r="N28" s="4">
        <f t="shared" si="9"/>
        <v>484</v>
      </c>
      <c r="O28" s="4">
        <f t="shared" si="10"/>
        <v>619</v>
      </c>
      <c r="P28" s="34">
        <f t="shared" si="11"/>
        <v>515.95088034800494</v>
      </c>
      <c r="Q28" s="35">
        <f t="shared" si="12"/>
        <v>511.56619673631621</v>
      </c>
      <c r="R28" s="35">
        <f t="shared" si="13"/>
        <v>483.63717731396963</v>
      </c>
      <c r="S28" s="30">
        <f t="shared" si="14"/>
        <v>1.1062011464281756</v>
      </c>
      <c r="T28" s="36">
        <f t="shared" si="15"/>
        <v>0.59356436085464459</v>
      </c>
      <c r="X28" s="4">
        <v>290</v>
      </c>
      <c r="Y28" s="37">
        <v>0</v>
      </c>
      <c r="Z28" s="4">
        <v>4</v>
      </c>
      <c r="AC28" s="35">
        <f t="shared" si="16"/>
        <v>515.95088034800494</v>
      </c>
      <c r="AD28" s="4">
        <f t="shared" si="17"/>
        <v>0.42692452232809408</v>
      </c>
      <c r="AE28" s="4">
        <f t="shared" si="18"/>
        <v>0.10039364893647207</v>
      </c>
      <c r="AF28" s="4">
        <f t="shared" si="19"/>
        <v>0.9634622611640471</v>
      </c>
      <c r="AG28" s="4">
        <f t="shared" si="20"/>
        <v>0.10039364893647207</v>
      </c>
      <c r="AH28" s="4">
        <f t="shared" si="21"/>
        <v>0.9634622611640471</v>
      </c>
      <c r="AI28" s="31">
        <f t="shared" si="22"/>
        <v>0.94540487702172704</v>
      </c>
      <c r="AJ28" s="30">
        <f t="shared" si="23"/>
        <v>0.10039364893647207</v>
      </c>
    </row>
    <row r="29" spans="1:36" x14ac:dyDescent="0.25">
      <c r="A29">
        <v>12.2</v>
      </c>
      <c r="B29">
        <v>95.25</v>
      </c>
      <c r="C29">
        <v>3.55</v>
      </c>
      <c r="D29" s="4">
        <v>287</v>
      </c>
      <c r="E29" s="4">
        <v>200</v>
      </c>
      <c r="F29" s="38">
        <v>34.4</v>
      </c>
      <c r="G29" s="7">
        <f t="shared" si="4"/>
        <v>33.933795463795462</v>
      </c>
      <c r="H29">
        <v>992</v>
      </c>
      <c r="I29" s="7">
        <f t="shared" si="5"/>
        <v>10.414698162729659</v>
      </c>
      <c r="J29" s="31">
        <f t="shared" si="6"/>
        <v>0.42730808393369635</v>
      </c>
      <c r="K29" s="32">
        <f t="shared" si="7"/>
        <v>26.83098591549296</v>
      </c>
      <c r="L29" s="33">
        <f t="shared" si="8"/>
        <v>0.36408950154829689</v>
      </c>
      <c r="M29" s="4">
        <v>517</v>
      </c>
      <c r="N29" s="4">
        <f t="shared" si="9"/>
        <v>472</v>
      </c>
      <c r="O29" s="4">
        <f t="shared" si="10"/>
        <v>602</v>
      </c>
      <c r="P29" s="34">
        <f t="shared" si="11"/>
        <v>503.45334988266723</v>
      </c>
      <c r="Q29" s="35">
        <f t="shared" si="12"/>
        <v>499.30474932379423</v>
      </c>
      <c r="R29" s="35">
        <f t="shared" si="13"/>
        <v>472.06889705202695</v>
      </c>
      <c r="S29" s="30">
        <f t="shared" si="14"/>
        <v>1.0951791215827997</v>
      </c>
      <c r="T29" s="36">
        <f t="shared" si="15"/>
        <v>0.58300223978247168</v>
      </c>
      <c r="X29" s="4">
        <v>290</v>
      </c>
      <c r="Y29" s="37">
        <v>0</v>
      </c>
      <c r="Z29" s="4">
        <v>4</v>
      </c>
      <c r="AC29" s="35">
        <f t="shared" si="16"/>
        <v>503.45334988266723</v>
      </c>
      <c r="AD29" s="4">
        <f t="shared" si="17"/>
        <v>0.42673027168028266</v>
      </c>
      <c r="AE29" s="4">
        <f t="shared" si="18"/>
        <v>0.10116829497634416</v>
      </c>
      <c r="AF29" s="4">
        <f t="shared" si="19"/>
        <v>0.96336513584014138</v>
      </c>
      <c r="AG29" s="4">
        <f t="shared" si="20"/>
        <v>0.10116829497634416</v>
      </c>
      <c r="AH29" s="4">
        <f t="shared" si="21"/>
        <v>0.96336513584014138</v>
      </c>
      <c r="AI29" s="31">
        <f t="shared" si="22"/>
        <v>0.94545244701026254</v>
      </c>
      <c r="AJ29" s="30">
        <f t="shared" si="23"/>
        <v>0.10116829497634416</v>
      </c>
    </row>
    <row r="30" spans="1:36" x14ac:dyDescent="0.25">
      <c r="A30">
        <v>12.3</v>
      </c>
      <c r="B30">
        <v>95.25</v>
      </c>
      <c r="C30">
        <v>3.6749999999999998</v>
      </c>
      <c r="D30" s="4">
        <v>287</v>
      </c>
      <c r="E30" s="4">
        <v>200</v>
      </c>
      <c r="F30" s="38">
        <v>34.4</v>
      </c>
      <c r="G30" s="7">
        <f t="shared" si="4"/>
        <v>33.933795463795462</v>
      </c>
      <c r="H30">
        <v>995</v>
      </c>
      <c r="I30" s="7">
        <f t="shared" si="5"/>
        <v>10.446194225721785</v>
      </c>
      <c r="J30" s="31">
        <f t="shared" si="6"/>
        <v>0.42764215087185109</v>
      </c>
      <c r="K30" s="32">
        <f t="shared" si="7"/>
        <v>25.918367346938776</v>
      </c>
      <c r="L30" s="33">
        <f t="shared" si="8"/>
        <v>0.35170550489699426</v>
      </c>
      <c r="M30" s="4">
        <v>545</v>
      </c>
      <c r="N30" s="4">
        <f t="shared" si="9"/>
        <v>481</v>
      </c>
      <c r="O30" s="4">
        <f t="shared" si="10"/>
        <v>614</v>
      </c>
      <c r="P30" s="34">
        <f t="shared" si="11"/>
        <v>512.18505912463274</v>
      </c>
      <c r="Q30" s="35">
        <f t="shared" si="12"/>
        <v>507.82593132538511</v>
      </c>
      <c r="R30" s="35">
        <f t="shared" si="13"/>
        <v>480.07875228533067</v>
      </c>
      <c r="S30" s="30">
        <f t="shared" si="14"/>
        <v>1.1352304125221604</v>
      </c>
      <c r="T30" s="36">
        <f t="shared" si="15"/>
        <v>0.59243285376085331</v>
      </c>
      <c r="X30" s="4">
        <v>290</v>
      </c>
      <c r="Y30" s="37">
        <v>0</v>
      </c>
      <c r="Z30" s="4">
        <v>4</v>
      </c>
      <c r="AC30" s="35">
        <f t="shared" si="16"/>
        <v>512.18505912463274</v>
      </c>
      <c r="AD30" s="4">
        <f t="shared" si="17"/>
        <v>0.42708263901768795</v>
      </c>
      <c r="AE30" s="4">
        <f t="shared" si="18"/>
        <v>9.9764047528090316E-2</v>
      </c>
      <c r="AF30" s="4">
        <f t="shared" si="19"/>
        <v>0.96354131950884403</v>
      </c>
      <c r="AG30" s="4">
        <f t="shared" si="20"/>
        <v>9.9764047528090316E-2</v>
      </c>
      <c r="AH30" s="4">
        <f t="shared" si="21"/>
        <v>0.96354131950884403</v>
      </c>
      <c r="AI30" s="31">
        <f t="shared" si="22"/>
        <v>0.9453608464466623</v>
      </c>
      <c r="AJ30" s="30">
        <f t="shared" si="23"/>
        <v>9.9764047528090316E-2</v>
      </c>
    </row>
    <row r="31" spans="1:36" x14ac:dyDescent="0.25">
      <c r="A31">
        <v>13.1</v>
      </c>
      <c r="B31">
        <v>95.25</v>
      </c>
      <c r="C31">
        <v>3.7250000000000001</v>
      </c>
      <c r="D31" s="4">
        <v>287</v>
      </c>
      <c r="E31" s="4">
        <v>200</v>
      </c>
      <c r="F31" s="38">
        <v>34.4</v>
      </c>
      <c r="G31" s="7">
        <f t="shared" si="4"/>
        <v>33.933795463795462</v>
      </c>
      <c r="H31">
        <v>504</v>
      </c>
      <c r="I31" s="7">
        <f t="shared" si="5"/>
        <v>5.2913385826771657</v>
      </c>
      <c r="J31" s="31">
        <f t="shared" si="6"/>
        <v>0.21643008001946282</v>
      </c>
      <c r="K31" s="32">
        <f t="shared" si="7"/>
        <v>25.570469798657719</v>
      </c>
      <c r="L31" s="33">
        <f t="shared" si="8"/>
        <v>0.3469846256366319</v>
      </c>
      <c r="M31" s="4">
        <v>650</v>
      </c>
      <c r="N31" s="4">
        <f t="shared" si="9"/>
        <v>484</v>
      </c>
      <c r="O31" s="4">
        <f t="shared" si="10"/>
        <v>619</v>
      </c>
      <c r="P31" s="34">
        <f t="shared" si="11"/>
        <v>515.6707991162566</v>
      </c>
      <c r="Q31" s="35">
        <f t="shared" si="12"/>
        <v>587.25977525484336</v>
      </c>
      <c r="R31" s="35">
        <f t="shared" si="13"/>
        <v>585.14200724390366</v>
      </c>
      <c r="S31" s="30">
        <f t="shared" si="14"/>
        <v>1.1108414572072616</v>
      </c>
      <c r="T31" s="36">
        <f t="shared" si="15"/>
        <v>0.59610840420371058</v>
      </c>
      <c r="X31" s="4">
        <v>290</v>
      </c>
      <c r="Y31" s="37">
        <v>0</v>
      </c>
      <c r="Z31" s="4">
        <v>4</v>
      </c>
      <c r="AC31" s="35">
        <f t="shared" si="16"/>
        <v>515.67079911625672</v>
      </c>
      <c r="AD31" s="4">
        <f t="shared" si="17"/>
        <v>0.21615057237298171</v>
      </c>
      <c r="AE31" s="4">
        <f t="shared" si="18"/>
        <v>1.695472600031688</v>
      </c>
      <c r="AF31" s="4">
        <f t="shared" si="19"/>
        <v>0.85807528618649087</v>
      </c>
      <c r="AG31" s="4">
        <f t="shared" si="20"/>
        <v>1.695472600031688</v>
      </c>
      <c r="AH31" s="4">
        <f t="shared" si="21"/>
        <v>0.85807528618649087</v>
      </c>
      <c r="AI31" s="31">
        <f t="shared" si="22"/>
        <v>0.99639381394712301</v>
      </c>
      <c r="AJ31" s="30">
        <f t="shared" si="23"/>
        <v>1.695472600031688</v>
      </c>
    </row>
    <row r="32" spans="1:36" x14ac:dyDescent="0.25">
      <c r="A32">
        <v>13.2</v>
      </c>
      <c r="B32">
        <v>95.5</v>
      </c>
      <c r="C32">
        <v>3.75</v>
      </c>
      <c r="D32" s="4">
        <v>287</v>
      </c>
      <c r="E32" s="4">
        <v>200</v>
      </c>
      <c r="F32" s="38">
        <v>34.4</v>
      </c>
      <c r="G32" s="7">
        <f t="shared" si="4"/>
        <v>33.933795463795462</v>
      </c>
      <c r="H32">
        <v>503.75</v>
      </c>
      <c r="I32" s="7">
        <f t="shared" si="5"/>
        <v>5.2748691099476437</v>
      </c>
      <c r="J32" s="31">
        <f t="shared" si="6"/>
        <v>0.21570157444825469</v>
      </c>
      <c r="K32" s="32">
        <f t="shared" si="7"/>
        <v>25.466666666666665</v>
      </c>
      <c r="L32" s="33">
        <f t="shared" si="8"/>
        <v>0.34557604412923559</v>
      </c>
      <c r="M32" s="4">
        <v>645</v>
      </c>
      <c r="N32" s="4">
        <f t="shared" si="9"/>
        <v>488</v>
      </c>
      <c r="O32" s="4">
        <f t="shared" si="10"/>
        <v>624</v>
      </c>
      <c r="P32" s="34">
        <f t="shared" si="11"/>
        <v>519.44455600267133</v>
      </c>
      <c r="Q32" s="35">
        <f t="shared" si="12"/>
        <v>592.07321729813623</v>
      </c>
      <c r="R32" s="35">
        <f t="shared" si="13"/>
        <v>590.03308878913333</v>
      </c>
      <c r="S32" s="30">
        <f t="shared" si="14"/>
        <v>1.0931590316801891</v>
      </c>
      <c r="T32" s="36">
        <f t="shared" si="15"/>
        <v>0.5972139051934573</v>
      </c>
      <c r="X32" s="4">
        <v>290</v>
      </c>
      <c r="Y32" s="37">
        <v>0</v>
      </c>
      <c r="Z32" s="4">
        <v>4</v>
      </c>
      <c r="AC32" s="35">
        <f t="shared" si="16"/>
        <v>519.44455600267133</v>
      </c>
      <c r="AD32" s="4">
        <f t="shared" si="17"/>
        <v>0.21542410127148015</v>
      </c>
      <c r="AE32" s="4">
        <f t="shared" si="18"/>
        <v>1.7035823644242414</v>
      </c>
      <c r="AF32" s="4">
        <f t="shared" si="19"/>
        <v>0.85771205063574008</v>
      </c>
      <c r="AG32" s="4">
        <f t="shared" si="20"/>
        <v>1.7035823644242414</v>
      </c>
      <c r="AH32" s="4">
        <f t="shared" si="21"/>
        <v>0.85771205063574008</v>
      </c>
      <c r="AI32" s="31">
        <f t="shared" si="22"/>
        <v>0.99655426313942597</v>
      </c>
      <c r="AJ32" s="30">
        <f t="shared" si="23"/>
        <v>1.7035823644242414</v>
      </c>
    </row>
    <row r="33" spans="1:36" x14ac:dyDescent="0.25">
      <c r="A33">
        <v>13.3</v>
      </c>
      <c r="B33">
        <v>95.5</v>
      </c>
      <c r="C33">
        <v>3.7250000000000001</v>
      </c>
      <c r="D33" s="4">
        <v>287</v>
      </c>
      <c r="E33" s="4">
        <v>200</v>
      </c>
      <c r="F33" s="38">
        <v>34.4</v>
      </c>
      <c r="G33" s="7">
        <f t="shared" si="4"/>
        <v>33.933795463795462</v>
      </c>
      <c r="H33">
        <v>505</v>
      </c>
      <c r="I33" s="7">
        <f t="shared" si="5"/>
        <v>5.2879581151832458</v>
      </c>
      <c r="J33" s="31">
        <f t="shared" si="6"/>
        <v>0.21632738295806039</v>
      </c>
      <c r="K33" s="32">
        <f t="shared" si="7"/>
        <v>25.63758389261745</v>
      </c>
      <c r="L33" s="33">
        <f t="shared" si="8"/>
        <v>0.3478953464388278</v>
      </c>
      <c r="M33" s="4">
        <v>680</v>
      </c>
      <c r="N33" s="4">
        <f>ROUND((0.85*F33*(B33-2*C33)^2+D33*(B33*B33-(B33-2*C33)^2))*PI()/4000,0)</f>
        <v>486</v>
      </c>
      <c r="O33" s="4">
        <f t="shared" si="10"/>
        <v>622</v>
      </c>
      <c r="P33" s="34">
        <f t="shared" si="11"/>
        <v>517.69821415427828</v>
      </c>
      <c r="Q33" s="35">
        <f t="shared" si="12"/>
        <v>589.58434454666985</v>
      </c>
      <c r="R33" s="35">
        <f t="shared" si="13"/>
        <v>587.47153114738262</v>
      </c>
      <c r="S33" s="30">
        <f t="shared" si="14"/>
        <v>1.1575028983479443</v>
      </c>
      <c r="T33" s="36">
        <f t="shared" si="15"/>
        <v>0.59539580834891859</v>
      </c>
      <c r="X33" s="4">
        <v>290</v>
      </c>
      <c r="Y33" s="37">
        <v>0</v>
      </c>
      <c r="Z33" s="4">
        <v>4</v>
      </c>
      <c r="AC33" s="35">
        <f t="shared" si="16"/>
        <v>517.69821415427828</v>
      </c>
      <c r="AD33" s="4">
        <f t="shared" si="17"/>
        <v>0.2160472999552053</v>
      </c>
      <c r="AE33" s="4">
        <f t="shared" si="18"/>
        <v>1.6966243597335882</v>
      </c>
      <c r="AF33" s="4">
        <f t="shared" si="19"/>
        <v>0.85802364997760261</v>
      </c>
      <c r="AG33" s="4">
        <f t="shared" si="20"/>
        <v>1.6966243597335882</v>
      </c>
      <c r="AH33" s="4">
        <f t="shared" si="21"/>
        <v>0.85802364997760261</v>
      </c>
      <c r="AI33" s="31">
        <f t="shared" si="22"/>
        <v>0.99641643571639982</v>
      </c>
      <c r="AJ33" s="30">
        <f t="shared" si="23"/>
        <v>1.6966243597335882</v>
      </c>
    </row>
    <row r="34" spans="1:36" x14ac:dyDescent="0.25">
      <c r="A34" s="39" t="s">
        <v>92</v>
      </c>
      <c r="B34" s="40">
        <v>1988</v>
      </c>
      <c r="C34" s="40" t="s">
        <v>181</v>
      </c>
      <c r="F34" s="40" t="s">
        <v>155</v>
      </c>
      <c r="G34" s="7"/>
      <c r="I34" s="7"/>
      <c r="J34" s="31"/>
      <c r="K34" s="32"/>
      <c r="L34" s="33"/>
      <c r="N34" s="4"/>
      <c r="O34" s="4"/>
      <c r="P34" s="34"/>
      <c r="Q34" s="35"/>
      <c r="R34" s="42" t="s">
        <v>168</v>
      </c>
      <c r="S34" s="45">
        <f>AVERAGE(S10:S33)</f>
        <v>1.0917574065360105</v>
      </c>
      <c r="T34" s="36"/>
      <c r="X34" s="4"/>
      <c r="Y34" s="37"/>
      <c r="Z34" s="4"/>
      <c r="AC34" s="35"/>
      <c r="AD34" s="4"/>
      <c r="AE34" s="4"/>
      <c r="AF34" s="4"/>
      <c r="AG34" s="4"/>
      <c r="AH34" s="4"/>
      <c r="AI34" s="31"/>
      <c r="AJ34" s="30"/>
    </row>
    <row r="35" spans="1:36" x14ac:dyDescent="0.25">
      <c r="A35" t="s">
        <v>93</v>
      </c>
      <c r="B35">
        <v>150</v>
      </c>
      <c r="C35">
        <v>0.7</v>
      </c>
      <c r="D35">
        <v>250</v>
      </c>
      <c r="E35">
        <v>200</v>
      </c>
      <c r="F35">
        <v>22.6</v>
      </c>
      <c r="G35" s="7">
        <f t="shared" si="4"/>
        <v>30.7708227642959</v>
      </c>
      <c r="H35">
        <v>480</v>
      </c>
      <c r="I35" s="7">
        <f t="shared" ref="I35:I42" si="24">(H35/B35)</f>
        <v>3.2</v>
      </c>
      <c r="J35" s="31">
        <f t="shared" ref="J35:J40" si="25">SQRT((64*AC35*H35*H35)/(PI()^3*((B35^4-(B35-2*C35)^4)*E35+(B35-2*C35)^4*G35*0.8/1.35)))</f>
        <v>0.13366050116991715</v>
      </c>
      <c r="K35" s="32">
        <f t="shared" ref="K35:K40" si="26">B35/C35</f>
        <v>214.28571428571431</v>
      </c>
      <c r="L35" s="33">
        <f t="shared" ref="L35:L40" si="27">K35/(90*235/D35)</f>
        <v>2.5329280648429591</v>
      </c>
      <c r="M35">
        <v>547</v>
      </c>
      <c r="N35" s="4">
        <f t="shared" ref="N35:N39" si="28">ROUND((0.85*F35*(B35-2*C35)^2+D35*(B35*B35-(B35-2*C35)^2))*PI()/4000,0)</f>
        <v>415</v>
      </c>
      <c r="O35" s="4">
        <f>ROUND((0.85*F35+6*C35*D35/(B35-2*C35))*PI()*(B35-2*C35)^2/4000,0)</f>
        <v>456</v>
      </c>
      <c r="P35" s="34">
        <f t="shared" ref="P35:P40" si="29">PI()*((B35*B35-(B35-2*C35)^2)*D35+(B35-2*C35)^2*F35)/4000</f>
        <v>474.03671877434721</v>
      </c>
      <c r="Q35" s="35">
        <f t="shared" ref="Q35:Q40" si="30">0.00025*PI()*((B35*B35-(B35-2*C35)^2)*D35*AH35+F35*(B35-2*C35)^2*(1+AG35*C35*D35/(B35*F35)))</f>
        <v>514.40088562399626</v>
      </c>
      <c r="R35" s="35">
        <f t="shared" ref="R35:R40" si="31">AI35*Q35</f>
        <v>514.40088562399626</v>
      </c>
      <c r="S35" s="30">
        <f t="shared" ref="S35:S40" si="32">M35/R35</f>
        <v>1.0633729748277148</v>
      </c>
      <c r="T35" s="36">
        <f t="shared" ref="T35:T40" si="33">(PI()*(B35-C35)*C35*D35)/(1000*P35)</f>
        <v>0.17315528271500905</v>
      </c>
      <c r="X35" s="4">
        <v>290</v>
      </c>
      <c r="Y35" s="37">
        <v>0</v>
      </c>
      <c r="Z35" s="4">
        <v>4</v>
      </c>
      <c r="AC35" s="35">
        <f t="shared" ref="AC35:AC40" si="34">0.00025*PI()*((B35*B35-(B35-2*C35)^2)*D35+F35*(B35-2*C35)^2)</f>
        <v>474.03671877434721</v>
      </c>
      <c r="AD35" s="4">
        <f t="shared" ref="AD35:AD40" si="35">SQRT((64*AC35*H35*H35)/(PI()^3*((B35^4-(B35-2*C35)^4)*E35+(B35-2*C35)^4*G35*0.6)))</f>
        <v>0.13307574112231529</v>
      </c>
      <c r="AE35" s="4">
        <f t="shared" ref="AE35:AE40" si="36">IF(AD35&gt;0.5,0,AJ35)</f>
        <v>2.7391543881164764</v>
      </c>
      <c r="AF35" s="4">
        <f t="shared" ref="AF35:AF40" si="37">IF((0.25*(3+2*AD35))&gt;1,1,(0.25*(3+2*AD35)))</f>
        <v>0.81653787056115767</v>
      </c>
      <c r="AG35" s="4">
        <f t="shared" ref="AG35:AG40" si="38">AE35</f>
        <v>2.7391543881164764</v>
      </c>
      <c r="AH35" s="4">
        <f t="shared" ref="AH35:AH40" si="39">AF35</f>
        <v>0.81653787056115767</v>
      </c>
      <c r="AI35" s="31">
        <f t="shared" ref="AI35:AI40" si="40">IF(J35&lt;0.2,1,1/(0.5*(1+0.21*(J35-0.2)+J35*J35)+SQRT((0.5*(1+0.21*(J35-0.2)+J35*J35))^2-J35*J35)))</f>
        <v>1</v>
      </c>
      <c r="AJ35" s="30">
        <f t="shared" ref="AJ35:AJ40" si="41">IF((4.9-18.5*AD35+17*AD35*AD35)&lt;0,0,(4.9-18.5*AD35+17*AD35*AD35))</f>
        <v>2.7391543881164764</v>
      </c>
    </row>
    <row r="36" spans="1:36" x14ac:dyDescent="0.25">
      <c r="A36" t="s">
        <v>94</v>
      </c>
      <c r="B36">
        <v>150</v>
      </c>
      <c r="C36">
        <v>0.7</v>
      </c>
      <c r="D36">
        <v>250</v>
      </c>
      <c r="E36">
        <v>200</v>
      </c>
      <c r="F36">
        <v>22.6</v>
      </c>
      <c r="G36" s="7">
        <f t="shared" si="4"/>
        <v>30.7708227642959</v>
      </c>
      <c r="H36">
        <v>800</v>
      </c>
      <c r="I36" s="7">
        <f t="shared" si="24"/>
        <v>5.333333333333333</v>
      </c>
      <c r="J36" s="31">
        <f t="shared" si="25"/>
        <v>0.22276750194986195</v>
      </c>
      <c r="K36" s="32">
        <f t="shared" si="26"/>
        <v>214.28571428571431</v>
      </c>
      <c r="L36" s="33">
        <f t="shared" si="27"/>
        <v>2.5329280648429591</v>
      </c>
      <c r="M36">
        <v>522</v>
      </c>
      <c r="N36" s="4">
        <f t="shared" si="28"/>
        <v>415</v>
      </c>
      <c r="O36" s="4">
        <f t="shared" ref="O36:O40" si="42">ROUND((0.85*F36+6*C36*D36/(B36-2*C36))*PI()*(B36-2*C36)^2/4000,0)</f>
        <v>456</v>
      </c>
      <c r="P36" s="34">
        <f t="shared" si="29"/>
        <v>474.03671877434721</v>
      </c>
      <c r="Q36" s="35">
        <f t="shared" si="30"/>
        <v>495.66234127780518</v>
      </c>
      <c r="R36" s="35">
        <f t="shared" si="31"/>
        <v>493.18187416085732</v>
      </c>
      <c r="S36" s="30">
        <f t="shared" si="32"/>
        <v>1.0584330595851204</v>
      </c>
      <c r="T36" s="36">
        <f t="shared" si="33"/>
        <v>0.17315528271500905</v>
      </c>
      <c r="X36" s="4">
        <v>290</v>
      </c>
      <c r="Y36" s="37">
        <v>0</v>
      </c>
      <c r="Z36" s="4">
        <v>4</v>
      </c>
      <c r="AC36" s="35">
        <f t="shared" si="34"/>
        <v>474.03671877434721</v>
      </c>
      <c r="AD36" s="4">
        <f t="shared" si="35"/>
        <v>0.22179290187052547</v>
      </c>
      <c r="AE36" s="4">
        <f t="shared" si="36"/>
        <v>1.6330968678378039</v>
      </c>
      <c r="AF36" s="4">
        <f t="shared" si="37"/>
        <v>0.86089645093526279</v>
      </c>
      <c r="AG36" s="4">
        <f t="shared" si="38"/>
        <v>1.6330968678378039</v>
      </c>
      <c r="AH36" s="4">
        <f t="shared" si="39"/>
        <v>0.86089645093526279</v>
      </c>
      <c r="AI36" s="31">
        <f t="shared" si="40"/>
        <v>0.99499565145386415</v>
      </c>
      <c r="AJ36" s="30">
        <f t="shared" si="41"/>
        <v>1.6330968678378039</v>
      </c>
    </row>
    <row r="37" spans="1:36" x14ac:dyDescent="0.25">
      <c r="A37" t="s">
        <v>95</v>
      </c>
      <c r="B37">
        <v>150</v>
      </c>
      <c r="C37">
        <v>1.4</v>
      </c>
      <c r="D37">
        <v>250</v>
      </c>
      <c r="E37">
        <v>200</v>
      </c>
      <c r="F37">
        <v>22.6</v>
      </c>
      <c r="G37" s="7">
        <f t="shared" si="4"/>
        <v>30.7708227642959</v>
      </c>
      <c r="H37">
        <v>800</v>
      </c>
      <c r="I37" s="7">
        <f t="shared" si="24"/>
        <v>5.333333333333333</v>
      </c>
      <c r="J37" s="31">
        <f t="shared" si="25"/>
        <v>0.21329596759109082</v>
      </c>
      <c r="K37" s="32">
        <f t="shared" si="26"/>
        <v>107.14285714285715</v>
      </c>
      <c r="L37" s="33">
        <f t="shared" si="27"/>
        <v>1.2664640324214795</v>
      </c>
      <c r="M37">
        <v>708</v>
      </c>
      <c r="N37" s="4">
        <f t="shared" si="28"/>
        <v>490</v>
      </c>
      <c r="O37" s="4">
        <f t="shared" si="42"/>
        <v>570</v>
      </c>
      <c r="P37" s="34">
        <f t="shared" si="29"/>
        <v>547.99836125505453</v>
      </c>
      <c r="Q37" s="35">
        <f t="shared" si="30"/>
        <v>593.43021055122551</v>
      </c>
      <c r="R37" s="35">
        <f t="shared" si="31"/>
        <v>591.69958936269745</v>
      </c>
      <c r="S37" s="30">
        <f t="shared" si="32"/>
        <v>1.1965531373151135</v>
      </c>
      <c r="T37" s="36">
        <f t="shared" si="33"/>
        <v>0.29816555206294981</v>
      </c>
      <c r="X37" s="4">
        <v>290</v>
      </c>
      <c r="Y37" s="37">
        <v>0</v>
      </c>
      <c r="Z37" s="4">
        <v>4</v>
      </c>
      <c r="AC37" s="35">
        <f t="shared" si="34"/>
        <v>547.99836125505453</v>
      </c>
      <c r="AD37" s="4">
        <f t="shared" si="35"/>
        <v>0.21258232447620282</v>
      </c>
      <c r="AE37" s="4">
        <f t="shared" si="36"/>
        <v>1.7354781567452431</v>
      </c>
      <c r="AF37" s="4">
        <f t="shared" si="37"/>
        <v>0.85629116223810142</v>
      </c>
      <c r="AG37" s="4">
        <f t="shared" si="38"/>
        <v>1.7354781567452431</v>
      </c>
      <c r="AH37" s="4">
        <f t="shared" si="39"/>
        <v>0.85629116223810142</v>
      </c>
      <c r="AI37" s="31">
        <f t="shared" si="40"/>
        <v>0.99708369887855808</v>
      </c>
      <c r="AJ37" s="30">
        <f t="shared" si="41"/>
        <v>1.7354781567452431</v>
      </c>
    </row>
    <row r="38" spans="1:36" x14ac:dyDescent="0.25">
      <c r="A38" t="s">
        <v>96</v>
      </c>
      <c r="B38">
        <v>150</v>
      </c>
      <c r="C38">
        <v>2.1</v>
      </c>
      <c r="D38">
        <v>250</v>
      </c>
      <c r="E38">
        <v>200</v>
      </c>
      <c r="F38">
        <v>22.6</v>
      </c>
      <c r="G38" s="7">
        <f t="shared" si="4"/>
        <v>30.7708227642959</v>
      </c>
      <c r="H38">
        <v>800</v>
      </c>
      <c r="I38" s="7">
        <f t="shared" si="24"/>
        <v>5.333333333333333</v>
      </c>
      <c r="J38" s="31">
        <f t="shared" si="25"/>
        <v>0.20722059251695876</v>
      </c>
      <c r="K38" s="32">
        <f t="shared" si="26"/>
        <v>71.428571428571431</v>
      </c>
      <c r="L38" s="33">
        <f t="shared" si="27"/>
        <v>0.84430935494765291</v>
      </c>
      <c r="M38">
        <v>800</v>
      </c>
      <c r="N38" s="4">
        <f t="shared" si="28"/>
        <v>565</v>
      </c>
      <c r="O38" s="4">
        <f t="shared" si="42"/>
        <v>681</v>
      </c>
      <c r="P38" s="34">
        <f t="shared" si="29"/>
        <v>621.25989352972238</v>
      </c>
      <c r="Q38" s="35">
        <f t="shared" si="30"/>
        <v>690.82770081785532</v>
      </c>
      <c r="R38" s="35">
        <f t="shared" si="31"/>
        <v>689.73499167899695</v>
      </c>
      <c r="S38" s="30">
        <f t="shared" si="32"/>
        <v>1.1598657595326416</v>
      </c>
      <c r="T38" s="36">
        <f t="shared" si="33"/>
        <v>0.39264858090818161</v>
      </c>
      <c r="X38" s="4">
        <v>290</v>
      </c>
      <c r="Y38" s="37">
        <v>0</v>
      </c>
      <c r="Z38" s="4">
        <v>4</v>
      </c>
      <c r="AC38" s="35">
        <f t="shared" si="34"/>
        <v>621.25989352972238</v>
      </c>
      <c r="AD38" s="4">
        <f t="shared" si="35"/>
        <v>0.20666447125532833</v>
      </c>
      <c r="AE38" s="4">
        <f t="shared" si="36"/>
        <v>1.8027807443235813</v>
      </c>
      <c r="AF38" s="4">
        <f t="shared" si="37"/>
        <v>0.85333223562766414</v>
      </c>
      <c r="AG38" s="4">
        <f t="shared" si="38"/>
        <v>1.8027807443235813</v>
      </c>
      <c r="AH38" s="4">
        <f t="shared" si="39"/>
        <v>0.85333223562766414</v>
      </c>
      <c r="AI38" s="31">
        <f t="shared" si="40"/>
        <v>0.99841826096787267</v>
      </c>
      <c r="AJ38" s="30">
        <f t="shared" si="41"/>
        <v>1.8027807443235813</v>
      </c>
    </row>
    <row r="39" spans="1:36" x14ac:dyDescent="0.25">
      <c r="A39" t="s">
        <v>97</v>
      </c>
      <c r="B39">
        <v>150</v>
      </c>
      <c r="C39">
        <v>0.7</v>
      </c>
      <c r="D39">
        <v>250</v>
      </c>
      <c r="E39">
        <v>200</v>
      </c>
      <c r="F39">
        <v>33.4</v>
      </c>
      <c r="G39" s="7">
        <f t="shared" si="4"/>
        <v>33.691688999220851</v>
      </c>
      <c r="H39">
        <v>480</v>
      </c>
      <c r="I39" s="7">
        <f t="shared" si="24"/>
        <v>3.2</v>
      </c>
      <c r="J39" s="31">
        <f t="shared" si="25"/>
        <v>0.15284514525479009</v>
      </c>
      <c r="K39" s="32">
        <f t="shared" si="26"/>
        <v>214.28571428571431</v>
      </c>
      <c r="L39" s="33">
        <f t="shared" si="27"/>
        <v>2.5329280648429591</v>
      </c>
      <c r="M39">
        <v>756</v>
      </c>
      <c r="N39" s="4">
        <f t="shared" si="28"/>
        <v>574</v>
      </c>
      <c r="O39" s="4">
        <f t="shared" si="42"/>
        <v>615</v>
      </c>
      <c r="P39" s="34">
        <f t="shared" si="29"/>
        <v>661.34253171907915</v>
      </c>
      <c r="Q39" s="35">
        <f t="shared" si="30"/>
        <v>697.21891208209342</v>
      </c>
      <c r="R39" s="35">
        <f t="shared" si="31"/>
        <v>697.21891208209342</v>
      </c>
      <c r="S39" s="30">
        <f t="shared" si="32"/>
        <v>1.0843079367172781</v>
      </c>
      <c r="T39" s="36">
        <f t="shared" si="33"/>
        <v>0.12411414376042819</v>
      </c>
      <c r="X39" s="4">
        <v>290</v>
      </c>
      <c r="Y39" s="37">
        <v>0</v>
      </c>
      <c r="Z39" s="4">
        <v>4</v>
      </c>
      <c r="AC39" s="35">
        <f t="shared" si="34"/>
        <v>661.34253171907915</v>
      </c>
      <c r="AD39" s="4">
        <f t="shared" si="35"/>
        <v>0.15215899725237575</v>
      </c>
      <c r="AE39" s="4">
        <f t="shared" si="36"/>
        <v>2.4786486783934731</v>
      </c>
      <c r="AF39" s="4">
        <f t="shared" si="37"/>
        <v>0.8260794986261879</v>
      </c>
      <c r="AG39" s="4">
        <f t="shared" si="38"/>
        <v>2.4786486783934731</v>
      </c>
      <c r="AH39" s="4">
        <f t="shared" si="39"/>
        <v>0.8260794986261879</v>
      </c>
      <c r="AI39" s="31">
        <f t="shared" si="40"/>
        <v>1</v>
      </c>
      <c r="AJ39" s="30">
        <f t="shared" si="41"/>
        <v>2.4786486783934731</v>
      </c>
    </row>
    <row r="40" spans="1:36" x14ac:dyDescent="0.25">
      <c r="A40" t="s">
        <v>98</v>
      </c>
      <c r="B40">
        <v>150</v>
      </c>
      <c r="C40">
        <v>2.1</v>
      </c>
      <c r="D40">
        <v>250</v>
      </c>
      <c r="E40">
        <v>200</v>
      </c>
      <c r="F40">
        <v>35.299999999999997</v>
      </c>
      <c r="G40" s="7">
        <f t="shared" si="4"/>
        <v>34.148296980115511</v>
      </c>
      <c r="H40">
        <v>800</v>
      </c>
      <c r="I40" s="7">
        <f t="shared" si="24"/>
        <v>5.333333333333333</v>
      </c>
      <c r="J40" s="31">
        <f t="shared" si="25"/>
        <v>0.23450693823259178</v>
      </c>
      <c r="K40" s="32">
        <f t="shared" si="26"/>
        <v>71.428571428571431</v>
      </c>
      <c r="L40" s="33">
        <f t="shared" si="27"/>
        <v>0.84430935494765291</v>
      </c>
      <c r="M40">
        <v>1091</v>
      </c>
      <c r="N40" s="4">
        <f>ROUND((0.85*F40*(B40-2*C40)^2+D40*(B40*B40-(B40-2*C40)^2))*PI()/4000,0)</f>
        <v>745</v>
      </c>
      <c r="O40" s="4">
        <f t="shared" si="42"/>
        <v>862</v>
      </c>
      <c r="P40" s="34">
        <f t="shared" si="29"/>
        <v>833.29542848960682</v>
      </c>
      <c r="Q40" s="35">
        <f t="shared" si="30"/>
        <v>888.69151911391987</v>
      </c>
      <c r="R40" s="35">
        <f t="shared" si="31"/>
        <v>881.93172149754412</v>
      </c>
      <c r="S40" s="30">
        <f t="shared" si="32"/>
        <v>1.2370572158890625</v>
      </c>
      <c r="T40" s="36">
        <f t="shared" si="33"/>
        <v>0.29273749408629562</v>
      </c>
      <c r="X40" s="4">
        <v>290</v>
      </c>
      <c r="Y40" s="37">
        <v>0</v>
      </c>
      <c r="Z40" s="4">
        <v>4</v>
      </c>
      <c r="AC40" s="35">
        <f t="shared" si="34"/>
        <v>833.29542848960682</v>
      </c>
      <c r="AD40" s="4">
        <f t="shared" si="35"/>
        <v>0.23384022666238932</v>
      </c>
      <c r="AE40" s="4">
        <f t="shared" si="36"/>
        <v>1.5035370840395972</v>
      </c>
      <c r="AF40" s="4">
        <f t="shared" si="37"/>
        <v>0.86692011333119467</v>
      </c>
      <c r="AG40" s="4">
        <f t="shared" si="38"/>
        <v>1.5035370840395972</v>
      </c>
      <c r="AH40" s="4">
        <f t="shared" si="39"/>
        <v>0.86692011333119467</v>
      </c>
      <c r="AI40" s="31">
        <f t="shared" si="40"/>
        <v>0.99239353873533565</v>
      </c>
      <c r="AJ40" s="30">
        <f t="shared" si="41"/>
        <v>1.5035370840395972</v>
      </c>
    </row>
    <row r="41" spans="1:36" x14ac:dyDescent="0.25">
      <c r="A41" s="39" t="s">
        <v>99</v>
      </c>
      <c r="B41" s="40">
        <v>1994</v>
      </c>
      <c r="C41" s="40" t="s">
        <v>169</v>
      </c>
      <c r="G41" s="7"/>
      <c r="I41" s="7"/>
      <c r="J41" s="31"/>
      <c r="K41" s="32"/>
      <c r="L41" s="33"/>
      <c r="N41" s="4"/>
      <c r="O41" s="4"/>
      <c r="P41" s="34"/>
      <c r="Q41" s="35"/>
      <c r="R41" s="42" t="s">
        <v>162</v>
      </c>
      <c r="S41" s="43">
        <f>AVERAGE(S35:S40)</f>
        <v>1.1332650139778215</v>
      </c>
      <c r="T41" s="36"/>
      <c r="X41" s="4"/>
      <c r="Y41" s="37"/>
      <c r="Z41" s="4"/>
      <c r="AC41" s="35"/>
      <c r="AD41" s="4"/>
      <c r="AE41" s="4"/>
      <c r="AF41" s="4"/>
      <c r="AG41" s="4"/>
      <c r="AH41" s="4"/>
      <c r="AI41" s="31"/>
      <c r="AJ41" s="30"/>
    </row>
    <row r="42" spans="1:36" x14ac:dyDescent="0.25">
      <c r="A42" t="s">
        <v>100</v>
      </c>
      <c r="B42">
        <v>323.89999999999998</v>
      </c>
      <c r="C42">
        <v>5.6</v>
      </c>
      <c r="D42">
        <v>478</v>
      </c>
      <c r="E42">
        <v>200</v>
      </c>
      <c r="F42">
        <v>92.3</v>
      </c>
      <c r="G42" s="7">
        <f t="shared" si="4"/>
        <v>43.93523571202428</v>
      </c>
      <c r="H42">
        <v>4000</v>
      </c>
      <c r="I42" s="7">
        <f t="shared" si="24"/>
        <v>12.349490583513431</v>
      </c>
      <c r="J42" s="31">
        <f t="shared" ref="J42" si="43">SQRT((64*AC42*H42*H42)/(PI()^3*((B42^4-(B42-2*C42)^4)*E42+(B42-2*C42)^4*G42*0.8/1.35)))</f>
        <v>0.77425720158117717</v>
      </c>
      <c r="K42" s="32">
        <f t="shared" ref="K42" si="44">B42/C42</f>
        <v>57.839285714285715</v>
      </c>
      <c r="L42" s="33">
        <f t="shared" ref="L42" si="45">K42/(90*235/D42)</f>
        <v>1.3071952043228638</v>
      </c>
      <c r="M42">
        <v>10401</v>
      </c>
      <c r="N42" s="4">
        <f t="shared" ref="N42:N48" si="46">ROUND((0.85*F42*(B42-2*C42)^2+D42*(B42*B42-(B42-2*C42)^2))*PI()/4000,0)</f>
        <v>8702</v>
      </c>
      <c r="O42" s="4">
        <f t="shared" ref="O42:O48" si="47">ROUND((0.85*F42+6*C42*D42/(B42-2*C42))*PI()*(B42-2*C42)^2/4000,0)</f>
        <v>9970</v>
      </c>
      <c r="P42" s="34">
        <f t="shared" ref="P42:P48" si="48">PI()*((B42*B42-(B42-2*C42)^2)*D42+(B42-2*C42)^2*F42)/4000</f>
        <v>9765.1026300680624</v>
      </c>
      <c r="Q42" s="35">
        <f t="shared" ref="Q42:Q49" si="49">0.00025*PI()*((B42*B42-(B42-2*C42)^2)*D42*AH42+F42*(B42-2*C42)^2*(1+AG42*C42*D42/(B42*F42)))</f>
        <v>9765.1026300680624</v>
      </c>
      <c r="R42" s="35">
        <f t="shared" ref="R42:R49" si="50">AI42*Q42</f>
        <v>7910.51249570043</v>
      </c>
      <c r="S42" s="30">
        <f t="shared" ref="S42:S48" si="51">M42/R42</f>
        <v>1.3148326364003868</v>
      </c>
      <c r="T42" s="36">
        <f t="shared" ref="T42:T48" si="52">(PI()*(B42-C42)*C42*D42)/(1000*P42)</f>
        <v>0.27411046912437353</v>
      </c>
      <c r="X42" s="4">
        <v>290</v>
      </c>
      <c r="Y42" s="37">
        <v>0</v>
      </c>
      <c r="Z42" s="4">
        <v>4</v>
      </c>
      <c r="AC42" s="35">
        <f t="shared" ref="AC42:AC49" si="53">0.00025*PI()*((B42*B42-(B42-2*C42)^2)*D42+F42*(B42-2*C42)^2)</f>
        <v>9765.1026300680624</v>
      </c>
      <c r="AD42" s="4">
        <f t="shared" ref="AD42:AD49" si="54">SQRT((64*AC42*H42*H42)/(PI()^3*((B42^4-(B42-2*C42)^4)*E42+(B42-2*C42)^4*G42*0.6)))</f>
        <v>0.77202768701941638</v>
      </c>
      <c r="AE42" s="4">
        <f t="shared" ref="AE42:AE49" si="55">IF(AD42&gt;0.5,0,AJ42)</f>
        <v>0</v>
      </c>
      <c r="AF42" s="4">
        <f t="shared" ref="AF42:AF49" si="56">IF((0.25*(3+2*AD42))&gt;1,1,(0.25*(3+2*AD42)))</f>
        <v>1</v>
      </c>
      <c r="AG42" s="4">
        <f t="shared" ref="AG42:AG49" si="57">AE42</f>
        <v>0</v>
      </c>
      <c r="AH42" s="4">
        <f t="shared" ref="AH42:AH49" si="58">AF42</f>
        <v>1</v>
      </c>
      <c r="AI42" s="31">
        <f t="shared" ref="AI42:AI49" si="59">IF(J42&lt;0.2,1,1/(0.5*(1+0.21*(J42-0.2)+J42*J42)+SQRT((0.5*(1+0.21*(J42-0.2)+J42*J42))^2-J42*J42)))</f>
        <v>0.81007981128051842</v>
      </c>
      <c r="AJ42" s="30">
        <f t="shared" ref="AJ42:AJ49" si="60">IF((4.9-18.5*AD42+17*AD42*AD42)&lt;0,0,(4.9-18.5*AD42+17*AD42*AD42))</f>
        <v>0.74994253205814765</v>
      </c>
    </row>
    <row r="43" spans="1:36" x14ac:dyDescent="0.25">
      <c r="A43" s="39" t="s">
        <v>101</v>
      </c>
      <c r="B43" s="40">
        <v>1994</v>
      </c>
      <c r="C43" s="40" t="s">
        <v>118</v>
      </c>
      <c r="G43" s="7"/>
      <c r="I43" s="7"/>
      <c r="J43" s="31"/>
      <c r="K43" s="32"/>
      <c r="L43" s="33"/>
      <c r="N43" s="4"/>
      <c r="O43" s="4"/>
      <c r="P43" s="34"/>
      <c r="Q43" s="35"/>
      <c r="R43" s="35"/>
      <c r="S43" s="30"/>
      <c r="T43" s="36"/>
      <c r="X43" s="4"/>
      <c r="Y43" s="37"/>
      <c r="Z43" s="4"/>
      <c r="AC43" s="35"/>
      <c r="AD43" s="4"/>
      <c r="AE43" s="4"/>
      <c r="AF43" s="4"/>
      <c r="AG43" s="4"/>
      <c r="AH43" s="4"/>
      <c r="AI43" s="31"/>
      <c r="AJ43" s="30"/>
    </row>
    <row r="44" spans="1:36" x14ac:dyDescent="0.25">
      <c r="A44">
        <v>1</v>
      </c>
      <c r="B44">
        <v>140</v>
      </c>
      <c r="C44">
        <v>9.2200000000000006</v>
      </c>
      <c r="D44">
        <v>682</v>
      </c>
      <c r="E44">
        <v>200</v>
      </c>
      <c r="F44">
        <v>38.4</v>
      </c>
      <c r="G44" s="7">
        <f t="shared" si="4"/>
        <v>34.864069206067484</v>
      </c>
      <c r="H44">
        <v>914.4</v>
      </c>
      <c r="I44" s="7">
        <f t="shared" ref="I44:I49" si="61">(H44/B44)</f>
        <v>6.5314285714285711</v>
      </c>
      <c r="J44" s="31">
        <f t="shared" ref="J44:J49" si="62">SQRT((64*AC44*H44*H44)/(PI()^3*((B44^4-(B44-2*C44)^4)*E44+(B44-2*C44)^4*G44*0.8/1.35)))</f>
        <v>0.37252083799255031</v>
      </c>
      <c r="K44" s="32">
        <f t="shared" ref="K44:K49" si="63">B44/C44</f>
        <v>15.184381778741864</v>
      </c>
      <c r="L44" s="33">
        <f t="shared" ref="L44:L49" si="64">K44/(90*235/D44)</f>
        <v>0.48963349281805918</v>
      </c>
      <c r="M44">
        <v>3047</v>
      </c>
      <c r="N44" s="4">
        <f t="shared" si="46"/>
        <v>2962</v>
      </c>
      <c r="O44" s="4">
        <f t="shared" si="47"/>
        <v>3981</v>
      </c>
      <c r="P44" s="34">
        <f t="shared" si="48"/>
        <v>3029.1471161007894</v>
      </c>
      <c r="Q44" s="35">
        <f t="shared" si="49"/>
        <v>3056.5214369154</v>
      </c>
      <c r="R44" s="35">
        <f t="shared" si="50"/>
        <v>2933.8937700559322</v>
      </c>
      <c r="S44" s="30">
        <f t="shared" si="51"/>
        <v>1.0385515764403124</v>
      </c>
      <c r="T44" s="36">
        <f t="shared" si="52"/>
        <v>0.85287647480389717</v>
      </c>
      <c r="X44" s="4">
        <v>290</v>
      </c>
      <c r="Y44" s="37">
        <v>0</v>
      </c>
      <c r="Z44" s="4">
        <v>4</v>
      </c>
      <c r="AC44" s="35">
        <f t="shared" si="53"/>
        <v>3029.1471161007898</v>
      </c>
      <c r="AD44" s="4">
        <f t="shared" si="54"/>
        <v>0.37224234234985787</v>
      </c>
      <c r="AE44" s="4">
        <f t="shared" si="55"/>
        <v>0.36911081097547882</v>
      </c>
      <c r="AF44" s="4">
        <f t="shared" si="56"/>
        <v>0.93612117117492888</v>
      </c>
      <c r="AG44" s="4">
        <f t="shared" si="57"/>
        <v>0.36911081097547882</v>
      </c>
      <c r="AH44" s="4">
        <f t="shared" si="58"/>
        <v>0.93612117117492888</v>
      </c>
      <c r="AI44" s="31">
        <f t="shared" si="59"/>
        <v>0.9598799912284528</v>
      </c>
      <c r="AJ44" s="30">
        <f t="shared" si="60"/>
        <v>0.36911081097547882</v>
      </c>
    </row>
    <row r="45" spans="1:36" x14ac:dyDescent="0.25">
      <c r="A45">
        <v>2</v>
      </c>
      <c r="B45">
        <v>140</v>
      </c>
      <c r="C45" s="41">
        <v>9.2200000000000006</v>
      </c>
      <c r="D45">
        <v>682</v>
      </c>
      <c r="E45">
        <v>200</v>
      </c>
      <c r="F45">
        <v>38.4</v>
      </c>
      <c r="G45" s="7">
        <f t="shared" si="4"/>
        <v>34.864069206067484</v>
      </c>
      <c r="H45">
        <v>914.4</v>
      </c>
      <c r="I45" s="7">
        <f t="shared" si="61"/>
        <v>6.5314285714285711</v>
      </c>
      <c r="J45" s="31">
        <f t="shared" si="62"/>
        <v>0.37252083799255031</v>
      </c>
      <c r="K45" s="32">
        <f t="shared" si="63"/>
        <v>15.184381778741864</v>
      </c>
      <c r="L45" s="33">
        <f t="shared" si="64"/>
        <v>0.48963349281805918</v>
      </c>
      <c r="M45">
        <v>2598</v>
      </c>
      <c r="N45" s="4">
        <f t="shared" si="46"/>
        <v>2962</v>
      </c>
      <c r="O45" s="4">
        <f t="shared" si="47"/>
        <v>3981</v>
      </c>
      <c r="P45" s="34">
        <f t="shared" si="48"/>
        <v>3029.1471161007894</v>
      </c>
      <c r="Q45" s="35">
        <f t="shared" si="49"/>
        <v>3056.5214369154</v>
      </c>
      <c r="R45" s="35">
        <f t="shared" si="50"/>
        <v>2933.8937700559322</v>
      </c>
      <c r="S45" s="30">
        <f t="shared" si="51"/>
        <v>0.88551263393237012</v>
      </c>
      <c r="T45" s="36">
        <f t="shared" si="52"/>
        <v>0.85287647480389717</v>
      </c>
      <c r="X45" s="4">
        <v>290</v>
      </c>
      <c r="Y45" s="37">
        <v>0</v>
      </c>
      <c r="Z45" s="4">
        <v>4</v>
      </c>
      <c r="AC45" s="35">
        <f t="shared" si="53"/>
        <v>3029.1471161007898</v>
      </c>
      <c r="AD45" s="4">
        <f t="shared" si="54"/>
        <v>0.37224234234985787</v>
      </c>
      <c r="AE45" s="4">
        <f t="shared" si="55"/>
        <v>0.36911081097547882</v>
      </c>
      <c r="AF45" s="4">
        <f t="shared" si="56"/>
        <v>0.93612117117492888</v>
      </c>
      <c r="AG45" s="4">
        <f t="shared" si="57"/>
        <v>0.36911081097547882</v>
      </c>
      <c r="AH45" s="4">
        <f t="shared" si="58"/>
        <v>0.93612117117492888</v>
      </c>
      <c r="AI45" s="31">
        <f t="shared" si="59"/>
        <v>0.9598799912284528</v>
      </c>
      <c r="AJ45" s="30">
        <f t="shared" si="60"/>
        <v>0.36911081097547882</v>
      </c>
    </row>
    <row r="46" spans="1:36" x14ac:dyDescent="0.25">
      <c r="A46">
        <v>3</v>
      </c>
      <c r="B46">
        <v>140</v>
      </c>
      <c r="C46">
        <v>9.2200000000000006</v>
      </c>
      <c r="D46">
        <v>682</v>
      </c>
      <c r="E46">
        <v>200</v>
      </c>
      <c r="F46">
        <v>38.4</v>
      </c>
      <c r="G46" s="7">
        <f t="shared" si="4"/>
        <v>34.864069206067484</v>
      </c>
      <c r="H46">
        <v>3048</v>
      </c>
      <c r="I46" s="7">
        <f t="shared" si="61"/>
        <v>21.771428571428572</v>
      </c>
      <c r="J46" s="31">
        <f t="shared" si="62"/>
        <v>1.2417361266418343</v>
      </c>
      <c r="K46" s="32">
        <f t="shared" si="63"/>
        <v>15.184381778741864</v>
      </c>
      <c r="L46" s="33">
        <f t="shared" si="64"/>
        <v>0.48963349281805918</v>
      </c>
      <c r="M46">
        <v>2002</v>
      </c>
      <c r="N46" s="4">
        <f t="shared" si="46"/>
        <v>2962</v>
      </c>
      <c r="O46" s="4">
        <f t="shared" si="47"/>
        <v>3981</v>
      </c>
      <c r="P46" s="34">
        <f t="shared" si="48"/>
        <v>3029.1471161007894</v>
      </c>
      <c r="Q46" s="35">
        <f t="shared" si="49"/>
        <v>3029.1471161007898</v>
      </c>
      <c r="R46" s="35">
        <f t="shared" si="50"/>
        <v>1527.4189321943124</v>
      </c>
      <c r="S46" s="30">
        <f t="shared" si="51"/>
        <v>1.3107078600393525</v>
      </c>
      <c r="T46" s="36">
        <f t="shared" si="52"/>
        <v>0.85287647480389717</v>
      </c>
      <c r="X46" s="4">
        <v>290</v>
      </c>
      <c r="Y46" s="37">
        <v>0</v>
      </c>
      <c r="Z46" s="4">
        <v>4</v>
      </c>
      <c r="AC46" s="35">
        <f t="shared" si="53"/>
        <v>3029.1471161007898</v>
      </c>
      <c r="AD46" s="4">
        <f t="shared" si="54"/>
        <v>1.2408078078328595</v>
      </c>
      <c r="AE46" s="4">
        <f t="shared" si="55"/>
        <v>0</v>
      </c>
      <c r="AF46" s="4">
        <f t="shared" si="56"/>
        <v>1</v>
      </c>
      <c r="AG46" s="4">
        <f t="shared" si="57"/>
        <v>0</v>
      </c>
      <c r="AH46" s="4">
        <f t="shared" si="58"/>
        <v>1</v>
      </c>
      <c r="AI46" s="31">
        <f t="shared" si="59"/>
        <v>0.50424059104810082</v>
      </c>
      <c r="AJ46" s="30">
        <f t="shared" si="60"/>
        <v>8.1183238267348621</v>
      </c>
    </row>
    <row r="47" spans="1:36" x14ac:dyDescent="0.25">
      <c r="A47">
        <v>4</v>
      </c>
      <c r="B47">
        <v>178</v>
      </c>
      <c r="C47">
        <v>12.8</v>
      </c>
      <c r="D47">
        <v>594</v>
      </c>
      <c r="E47">
        <v>200</v>
      </c>
      <c r="F47">
        <v>38.4</v>
      </c>
      <c r="G47" s="7">
        <f t="shared" si="4"/>
        <v>34.864069206067484</v>
      </c>
      <c r="H47">
        <v>914.4</v>
      </c>
      <c r="I47" s="7">
        <f t="shared" si="61"/>
        <v>5.1370786516853935</v>
      </c>
      <c r="J47" s="31">
        <f t="shared" si="62"/>
        <v>0.27763712831002796</v>
      </c>
      <c r="K47" s="32">
        <f t="shared" si="63"/>
        <v>13.90625</v>
      </c>
      <c r="L47" s="33">
        <f t="shared" si="64"/>
        <v>0.39055851063829783</v>
      </c>
      <c r="M47">
        <v>5253</v>
      </c>
      <c r="N47" s="4">
        <f t="shared" si="46"/>
        <v>4541</v>
      </c>
      <c r="O47" s="4">
        <f t="shared" si="47"/>
        <v>6056</v>
      </c>
      <c r="P47" s="34">
        <f t="shared" si="48"/>
        <v>4646.465599079831</v>
      </c>
      <c r="Q47" s="35">
        <f t="shared" si="49"/>
        <v>5045.6142162602591</v>
      </c>
      <c r="R47" s="35">
        <f t="shared" si="50"/>
        <v>4958.152617705945</v>
      </c>
      <c r="S47" s="30">
        <f t="shared" si="51"/>
        <v>1.0594671856693423</v>
      </c>
      <c r="T47" s="36">
        <f t="shared" si="52"/>
        <v>0.84924618418715958</v>
      </c>
      <c r="X47" s="4">
        <v>290</v>
      </c>
      <c r="Y47" s="37">
        <v>0</v>
      </c>
      <c r="Z47" s="4">
        <v>4</v>
      </c>
      <c r="AC47" s="35">
        <f t="shared" si="53"/>
        <v>4646.465599079831</v>
      </c>
      <c r="AD47" s="4">
        <f t="shared" si="54"/>
        <v>0.27745142254458938</v>
      </c>
      <c r="AE47" s="4">
        <f t="shared" si="55"/>
        <v>1.0757966447493734</v>
      </c>
      <c r="AF47" s="4">
        <f t="shared" si="56"/>
        <v>0.88872571127229472</v>
      </c>
      <c r="AG47" s="4">
        <f t="shared" si="57"/>
        <v>1.0757966447493734</v>
      </c>
      <c r="AH47" s="4">
        <f t="shared" si="58"/>
        <v>0.88872571127229472</v>
      </c>
      <c r="AI47" s="31">
        <f t="shared" si="59"/>
        <v>0.98266581732062352</v>
      </c>
      <c r="AJ47" s="30">
        <f t="shared" si="60"/>
        <v>1.0757966447493734</v>
      </c>
    </row>
    <row r="48" spans="1:36" x14ac:dyDescent="0.25">
      <c r="A48">
        <v>5</v>
      </c>
      <c r="B48">
        <v>178</v>
      </c>
      <c r="C48">
        <v>12.8</v>
      </c>
      <c r="D48">
        <v>594</v>
      </c>
      <c r="E48">
        <v>200</v>
      </c>
      <c r="F48">
        <v>38.4</v>
      </c>
      <c r="G48" s="7">
        <f t="shared" si="4"/>
        <v>34.864069206067484</v>
      </c>
      <c r="H48">
        <v>914.4</v>
      </c>
      <c r="I48" s="7">
        <f t="shared" si="61"/>
        <v>5.1370786516853935</v>
      </c>
      <c r="J48" s="31">
        <f t="shared" si="62"/>
        <v>0.27763712831002796</v>
      </c>
      <c r="K48" s="32">
        <f t="shared" si="63"/>
        <v>13.90625</v>
      </c>
      <c r="L48" s="33">
        <f t="shared" si="64"/>
        <v>0.39055851063829783</v>
      </c>
      <c r="M48">
        <v>5524</v>
      </c>
      <c r="N48" s="4">
        <f t="shared" si="46"/>
        <v>4541</v>
      </c>
      <c r="O48" s="4">
        <f t="shared" si="47"/>
        <v>6056</v>
      </c>
      <c r="P48" s="34">
        <f t="shared" si="48"/>
        <v>4646.465599079831</v>
      </c>
      <c r="Q48" s="35">
        <f t="shared" si="49"/>
        <v>5045.6142162602591</v>
      </c>
      <c r="R48" s="35">
        <f t="shared" si="50"/>
        <v>4958.152617705945</v>
      </c>
      <c r="S48" s="30">
        <f t="shared" si="51"/>
        <v>1.114124639946211</v>
      </c>
      <c r="T48" s="36">
        <f t="shared" si="52"/>
        <v>0.84924618418715958</v>
      </c>
      <c r="X48" s="4">
        <v>290</v>
      </c>
      <c r="Y48" s="37">
        <v>0</v>
      </c>
      <c r="Z48" s="4">
        <v>4</v>
      </c>
      <c r="AC48" s="35">
        <f t="shared" si="53"/>
        <v>4646.465599079831</v>
      </c>
      <c r="AD48" s="4">
        <f t="shared" si="54"/>
        <v>0.27745142254458938</v>
      </c>
      <c r="AE48" s="4">
        <f t="shared" si="55"/>
        <v>1.0757966447493734</v>
      </c>
      <c r="AF48" s="4">
        <f t="shared" si="56"/>
        <v>0.88872571127229472</v>
      </c>
      <c r="AG48" s="4">
        <f t="shared" si="57"/>
        <v>1.0757966447493734</v>
      </c>
      <c r="AH48" s="4">
        <f t="shared" si="58"/>
        <v>0.88872571127229472</v>
      </c>
      <c r="AI48" s="31">
        <f t="shared" si="59"/>
        <v>0.98266581732062352</v>
      </c>
      <c r="AJ48" s="30">
        <f t="shared" si="60"/>
        <v>1.0757966447493734</v>
      </c>
    </row>
    <row r="49" spans="1:36" x14ac:dyDescent="0.25">
      <c r="A49">
        <v>6</v>
      </c>
      <c r="B49">
        <v>178</v>
      </c>
      <c r="C49">
        <v>12.8</v>
      </c>
      <c r="D49">
        <v>594</v>
      </c>
      <c r="E49">
        <v>200</v>
      </c>
      <c r="F49">
        <v>38.4</v>
      </c>
      <c r="G49" s="7">
        <f t="shared" si="4"/>
        <v>34.864069206067484</v>
      </c>
      <c r="H49">
        <v>3048</v>
      </c>
      <c r="I49" s="7">
        <f t="shared" si="61"/>
        <v>17.123595505617978</v>
      </c>
      <c r="J49" s="31">
        <f t="shared" si="62"/>
        <v>0.92545709436675994</v>
      </c>
      <c r="K49" s="32">
        <f t="shared" si="63"/>
        <v>13.90625</v>
      </c>
      <c r="L49" s="33">
        <f t="shared" si="64"/>
        <v>0.39055851063829783</v>
      </c>
      <c r="M49">
        <v>4310</v>
      </c>
      <c r="N49" s="4">
        <f>ROUND((0.85*F49*(B49-2*C49)^2+D49*(B49*B49-(B49-2*C49)^2))*PI()/4000,0)</f>
        <v>4541</v>
      </c>
      <c r="O49" s="4">
        <f>ROUND((0.85*F49+6*C49*D49/(B49-2*C49))*PI()*(B49-2*C49)^2/4000,0)</f>
        <v>6056</v>
      </c>
      <c r="P49" s="34">
        <f>PI()*((B49*B49-(B49-2*C49)^2)*D49+(B49-2*C49)^2*F49)/4000</f>
        <v>4646.465599079831</v>
      </c>
      <c r="Q49" s="35">
        <f t="shared" si="49"/>
        <v>4646.465599079831</v>
      </c>
      <c r="R49" s="35">
        <f t="shared" si="50"/>
        <v>3331.4001995084573</v>
      </c>
      <c r="S49" s="30">
        <f>M49/R49</f>
        <v>1.2937502977384505</v>
      </c>
      <c r="T49" s="36">
        <f>(PI()*(B49-C49)*C49*D49)/(1000*P49)</f>
        <v>0.84924618418715958</v>
      </c>
      <c r="X49" s="4">
        <v>290</v>
      </c>
      <c r="Y49" s="37">
        <v>0</v>
      </c>
      <c r="Z49" s="4">
        <v>4</v>
      </c>
      <c r="AC49" s="35">
        <f t="shared" si="53"/>
        <v>4646.465599079831</v>
      </c>
      <c r="AD49" s="4">
        <f t="shared" si="54"/>
        <v>0.92483807514863137</v>
      </c>
      <c r="AE49" s="4">
        <f t="shared" si="55"/>
        <v>0</v>
      </c>
      <c r="AF49" s="4">
        <f t="shared" si="56"/>
        <v>1</v>
      </c>
      <c r="AG49" s="4">
        <f t="shared" si="57"/>
        <v>0</v>
      </c>
      <c r="AH49" s="4">
        <f t="shared" si="58"/>
        <v>1</v>
      </c>
      <c r="AI49" s="31">
        <f t="shared" si="59"/>
        <v>0.71697511333521879</v>
      </c>
      <c r="AJ49" s="30">
        <f t="shared" si="60"/>
        <v>2.3310285189089548</v>
      </c>
    </row>
    <row r="50" spans="1:36" x14ac:dyDescent="0.25">
      <c r="A50" s="39" t="s">
        <v>102</v>
      </c>
      <c r="B50" s="40">
        <v>1995</v>
      </c>
      <c r="C50" s="40" t="s">
        <v>170</v>
      </c>
      <c r="F50" s="40" t="s">
        <v>155</v>
      </c>
      <c r="G50" s="7"/>
      <c r="I50" s="7"/>
      <c r="J50" s="31"/>
      <c r="K50" s="32"/>
      <c r="L50" s="33"/>
      <c r="R50" s="40" t="s">
        <v>162</v>
      </c>
      <c r="S50" s="44">
        <f>AVERAGE(S44:S49)</f>
        <v>1.1170190322943399</v>
      </c>
      <c r="X50" s="4"/>
      <c r="Y50" s="37"/>
      <c r="Z50" s="4"/>
      <c r="AC50" s="35"/>
      <c r="AD50" s="4"/>
      <c r="AE50" s="4"/>
      <c r="AF50" s="4"/>
      <c r="AG50" s="4"/>
      <c r="AH50" s="4"/>
      <c r="AI50" s="31"/>
      <c r="AJ50" s="30"/>
    </row>
    <row r="51" spans="1:36" x14ac:dyDescent="0.25">
      <c r="A51" t="s">
        <v>103</v>
      </c>
      <c r="B51">
        <v>165.2</v>
      </c>
      <c r="C51">
        <v>4.5</v>
      </c>
      <c r="D51">
        <v>422</v>
      </c>
      <c r="E51">
        <v>200</v>
      </c>
      <c r="F51">
        <v>40.9</v>
      </c>
      <c r="G51" s="7">
        <f t="shared" si="4"/>
        <v>35.417290900407103</v>
      </c>
      <c r="H51">
        <v>1322</v>
      </c>
      <c r="I51" s="7">
        <f t="shared" ref="I51:I55" si="65">(H51/B51)</f>
        <v>8.0024213075060544</v>
      </c>
      <c r="J51" s="31">
        <f t="shared" ref="J51:J55" si="66">SQRT((64*AC51*H51*H51)/(PI()^3*((B51^4-(B51-2*C51)^4)*E51+(B51-2*C51)^4*G51*0.8/1.35)))</f>
        <v>0.38504344188948292</v>
      </c>
      <c r="K51" s="32">
        <f t="shared" ref="K51:K55" si="67">B51/C51</f>
        <v>36.711111111111109</v>
      </c>
      <c r="L51" s="33">
        <f t="shared" ref="L51:L55" si="68">K51/(90*235/D51)</f>
        <v>0.73248647228789066</v>
      </c>
      <c r="M51">
        <v>1412</v>
      </c>
      <c r="N51" s="4">
        <f>ROUND((0.85*F51*(B51-2*C51)^2+D51*(B51*B51-(B51-2*C51)^2))*PI()/4000,0)</f>
        <v>1625</v>
      </c>
      <c r="O51" s="4">
        <f>ROUND((0.85*F51+6*C51*D51/(B51-2*C51))*PI()*(B51-2*C51)^2/4000,0)</f>
        <v>2064</v>
      </c>
      <c r="P51" s="34">
        <f>PI()*((B51*B51-(B51-2*C51)^2)*D51+(B51-2*C51)^2*F51)/4000</f>
        <v>1742.4634705808403</v>
      </c>
      <c r="Q51" s="35">
        <f t="shared" ref="Q51" si="69">0.00025*PI()*((B51*B51-(B51-2*C51)^2)*D51*AH51+F51*(B51-2*C51)^2*(1+AG51*C51*D51/(B51*F51)))</f>
        <v>1753.3051964971744</v>
      </c>
      <c r="R51" s="35">
        <f t="shared" ref="R51" si="70">AI51*Q51</f>
        <v>1677.3518667055143</v>
      </c>
      <c r="S51" s="30">
        <f>M51/R51</f>
        <v>0.8418030992944302</v>
      </c>
      <c r="T51" s="36">
        <f>(PI()*(B51-C51)*C51*D51)/(1000*P51)</f>
        <v>0.55020816629318292</v>
      </c>
      <c r="X51" s="4">
        <v>290</v>
      </c>
      <c r="Y51" s="37">
        <v>0</v>
      </c>
      <c r="Z51" s="4">
        <v>4</v>
      </c>
      <c r="AC51" s="35">
        <f t="shared" ref="AC51:AC55" si="71">0.00025*PI()*((B51*B51-(B51-2*C51)^2)*D51+F51*(B51-2*C51)^2)</f>
        <v>1742.4634705808403</v>
      </c>
      <c r="AD51" s="4">
        <f t="shared" ref="AD51:AD55" si="72">SQRT((64*AC51*H51*H51)/(PI()^3*((B51^4-(B51-2*C51)^4)*E51+(B51-2*C51)^4*G51*0.6)))</f>
        <v>0.38433622903819681</v>
      </c>
      <c r="AE51" s="4">
        <f t="shared" ref="AE51:AE55" si="73">IF(AD51&gt;0.5,0,AJ51)</f>
        <v>0.30092349096548121</v>
      </c>
      <c r="AF51" s="4">
        <f t="shared" ref="AF51:AF55" si="74">IF((0.25*(3+2*AD51))&gt;1,1,(0.25*(3+2*AD51)))</f>
        <v>0.94216811451909843</v>
      </c>
      <c r="AG51" s="4">
        <f t="shared" ref="AG51:AG55" si="75">AE51</f>
        <v>0.30092349096548121</v>
      </c>
      <c r="AH51" s="4">
        <f t="shared" ref="AH51:AH55" si="76">AF51</f>
        <v>0.94216811451909843</v>
      </c>
      <c r="AI51" s="31">
        <f t="shared" ref="AI51:AI55" si="77">IF(J51&lt;0.2,1,1/(0.5*(1+0.21*(J51-0.2)+J51*J51)+SQRT((0.5*(1+0.21*(J51-0.2)+J51*J51))^2-J51*J51)))</f>
        <v>0.95667991520050089</v>
      </c>
      <c r="AJ51" s="30">
        <f t="shared" ref="AJ51:AJ55" si="78">IF((4.9-18.5*AD51+17*AD51*AD51)&lt;0,0,(4.9-18.5*AD51+17*AD51*AD51))</f>
        <v>0.30092349096548121</v>
      </c>
    </row>
    <row r="52" spans="1:36" x14ac:dyDescent="0.25">
      <c r="A52" t="s">
        <v>104</v>
      </c>
      <c r="B52">
        <v>165.2</v>
      </c>
      <c r="C52">
        <v>4.5</v>
      </c>
      <c r="D52">
        <v>422</v>
      </c>
      <c r="E52">
        <v>200</v>
      </c>
      <c r="F52">
        <v>40.9</v>
      </c>
      <c r="G52" s="7">
        <f t="shared" si="4"/>
        <v>35.417290900407103</v>
      </c>
      <c r="H52">
        <v>1982</v>
      </c>
      <c r="I52" s="7">
        <f t="shared" si="65"/>
        <v>11.997578692493947</v>
      </c>
      <c r="J52" s="31">
        <f t="shared" si="66"/>
        <v>0.57727390455745464</v>
      </c>
      <c r="K52" s="32">
        <f t="shared" si="67"/>
        <v>36.711111111111109</v>
      </c>
      <c r="L52" s="33">
        <f t="shared" si="68"/>
        <v>0.73248647228789066</v>
      </c>
      <c r="M52">
        <v>1372</v>
      </c>
      <c r="N52" s="4">
        <f t="shared" ref="N52:N55" si="79">ROUND((0.85*F52*(B52-2*C52)^2+D52*(B52*B52-(B52-2*C52)^2))*PI()/4000,0)</f>
        <v>1625</v>
      </c>
      <c r="O52" s="4">
        <f t="shared" ref="O52:O55" si="80">ROUND((0.85*F52+6*C52*D52/(B52-2*C52))*PI()*(B52-2*C52)^2/4000,0)</f>
        <v>2064</v>
      </c>
      <c r="P52" s="34">
        <f t="shared" ref="P52:P55" si="81">PI()*((B52*B52-(B52-2*C52)^2)*D52+(B52-2*C52)^2*F52)/4000</f>
        <v>1742.4634705808403</v>
      </c>
      <c r="Q52" s="35">
        <f t="shared" ref="Q52:Q55" si="82">0.00025*PI()*((B52*B52-(B52-2*C52)^2)*D52*AH52+F52*(B52-2*C52)^2*(1+AG52*C52*D52/(B52*F52)))</f>
        <v>1742.4634705808403</v>
      </c>
      <c r="R52" s="35">
        <f t="shared" ref="R52:R55" si="83">AI52*Q52</f>
        <v>1565.4382420804</v>
      </c>
      <c r="S52" s="30">
        <f t="shared" ref="S52:S55" si="84">M52/R52</f>
        <v>0.87643189179834469</v>
      </c>
      <c r="T52" s="36">
        <f t="shared" ref="T52:T55" si="85">(PI()*(B52-C52)*C52*D52)/(1000*P52)</f>
        <v>0.55020816629318292</v>
      </c>
      <c r="X52" s="4">
        <v>290</v>
      </c>
      <c r="Y52" s="37">
        <v>0</v>
      </c>
      <c r="Z52" s="4">
        <v>4</v>
      </c>
      <c r="AC52" s="35">
        <f t="shared" si="71"/>
        <v>1742.4634705808403</v>
      </c>
      <c r="AD52" s="4">
        <f t="shared" si="72"/>
        <v>0.57621362023729661</v>
      </c>
      <c r="AE52" s="4">
        <f t="shared" si="73"/>
        <v>0</v>
      </c>
      <c r="AF52" s="4">
        <f t="shared" si="74"/>
        <v>1</v>
      </c>
      <c r="AG52" s="4">
        <f t="shared" si="75"/>
        <v>0</v>
      </c>
      <c r="AH52" s="4">
        <f t="shared" si="76"/>
        <v>1</v>
      </c>
      <c r="AI52" s="31">
        <f t="shared" si="77"/>
        <v>0.89840519959857179</v>
      </c>
      <c r="AJ52" s="30">
        <f t="shared" si="78"/>
        <v>0</v>
      </c>
    </row>
    <row r="53" spans="1:36" x14ac:dyDescent="0.25">
      <c r="A53" t="s">
        <v>105</v>
      </c>
      <c r="B53">
        <v>165.2</v>
      </c>
      <c r="C53">
        <v>4.5</v>
      </c>
      <c r="D53">
        <v>422</v>
      </c>
      <c r="E53">
        <v>200</v>
      </c>
      <c r="F53">
        <v>40.9</v>
      </c>
      <c r="G53" s="7">
        <f t="shared" si="4"/>
        <v>35.417290900407103</v>
      </c>
      <c r="H53">
        <v>2974</v>
      </c>
      <c r="I53" s="7">
        <f t="shared" si="65"/>
        <v>18.002421307506054</v>
      </c>
      <c r="J53" s="31">
        <f t="shared" si="66"/>
        <v>0.86620211511295164</v>
      </c>
      <c r="K53" s="32">
        <f t="shared" si="67"/>
        <v>36.711111111111109</v>
      </c>
      <c r="L53" s="33">
        <f t="shared" si="68"/>
        <v>0.73248647228789066</v>
      </c>
      <c r="M53">
        <v>1147</v>
      </c>
      <c r="N53" s="4">
        <f t="shared" si="79"/>
        <v>1625</v>
      </c>
      <c r="O53" s="4">
        <f t="shared" si="80"/>
        <v>2064</v>
      </c>
      <c r="P53" s="34">
        <f t="shared" si="81"/>
        <v>1742.4634705808403</v>
      </c>
      <c r="Q53" s="35">
        <f t="shared" si="82"/>
        <v>1742.4634705808403</v>
      </c>
      <c r="R53" s="35">
        <f t="shared" si="83"/>
        <v>1316.9088724374276</v>
      </c>
      <c r="S53" s="30">
        <f t="shared" si="84"/>
        <v>0.87097902064935728</v>
      </c>
      <c r="T53" s="36">
        <f t="shared" si="85"/>
        <v>0.55020816629318292</v>
      </c>
      <c r="X53" s="4">
        <v>290</v>
      </c>
      <c r="Y53" s="37">
        <v>0</v>
      </c>
      <c r="Z53" s="4">
        <v>4</v>
      </c>
      <c r="AC53" s="35">
        <f t="shared" si="71"/>
        <v>1742.4634705808403</v>
      </c>
      <c r="AD53" s="4">
        <f t="shared" si="72"/>
        <v>0.86461115367594354</v>
      </c>
      <c r="AE53" s="4">
        <f t="shared" si="73"/>
        <v>0</v>
      </c>
      <c r="AF53" s="4">
        <f t="shared" si="74"/>
        <v>1</v>
      </c>
      <c r="AG53" s="4">
        <f t="shared" si="75"/>
        <v>0</v>
      </c>
      <c r="AH53" s="4">
        <f t="shared" si="76"/>
        <v>1</v>
      </c>
      <c r="AI53" s="31">
        <f t="shared" si="77"/>
        <v>0.75577416380410178</v>
      </c>
      <c r="AJ53" s="30">
        <f t="shared" si="78"/>
        <v>1.613085257029427</v>
      </c>
    </row>
    <row r="54" spans="1:36" x14ac:dyDescent="0.25">
      <c r="A54" t="s">
        <v>106</v>
      </c>
      <c r="B54">
        <v>165.2</v>
      </c>
      <c r="C54">
        <v>4.5</v>
      </c>
      <c r="D54">
        <v>422</v>
      </c>
      <c r="E54">
        <v>200</v>
      </c>
      <c r="F54">
        <v>40.9</v>
      </c>
      <c r="G54" s="7">
        <f t="shared" si="4"/>
        <v>35.417290900407103</v>
      </c>
      <c r="H54">
        <v>3965</v>
      </c>
      <c r="I54" s="7">
        <f t="shared" si="65"/>
        <v>24.001210653753027</v>
      </c>
      <c r="J54" s="31">
        <f t="shared" si="66"/>
        <v>1.1548390673916791</v>
      </c>
      <c r="K54" s="32">
        <f t="shared" si="67"/>
        <v>36.711111111111109</v>
      </c>
      <c r="L54" s="33">
        <f t="shared" si="68"/>
        <v>0.73248647228789066</v>
      </c>
      <c r="M54">
        <v>1019</v>
      </c>
      <c r="N54" s="4">
        <f t="shared" si="79"/>
        <v>1625</v>
      </c>
      <c r="O54" s="4">
        <f t="shared" si="80"/>
        <v>2064</v>
      </c>
      <c r="P54" s="34">
        <f t="shared" si="81"/>
        <v>1742.4634705808403</v>
      </c>
      <c r="Q54" s="35">
        <f t="shared" si="82"/>
        <v>1742.4634705808403</v>
      </c>
      <c r="R54" s="35">
        <f t="shared" si="83"/>
        <v>974.27192953420172</v>
      </c>
      <c r="S54" s="30">
        <f t="shared" si="84"/>
        <v>1.0459092262744167</v>
      </c>
      <c r="T54" s="36">
        <f t="shared" si="85"/>
        <v>0.55020816629318292</v>
      </c>
      <c r="X54" s="4">
        <v>290</v>
      </c>
      <c r="Y54" s="37">
        <v>0</v>
      </c>
      <c r="Z54" s="4">
        <v>4</v>
      </c>
      <c r="AC54" s="35">
        <f t="shared" si="71"/>
        <v>1742.4634705808403</v>
      </c>
      <c r="AD54" s="4">
        <f t="shared" si="72"/>
        <v>1.1527179637945919</v>
      </c>
      <c r="AE54" s="4">
        <f t="shared" si="73"/>
        <v>0</v>
      </c>
      <c r="AF54" s="4">
        <f t="shared" si="74"/>
        <v>1</v>
      </c>
      <c r="AG54" s="4">
        <f t="shared" si="75"/>
        <v>0</v>
      </c>
      <c r="AH54" s="4">
        <f t="shared" si="76"/>
        <v>1</v>
      </c>
      <c r="AI54" s="31">
        <f t="shared" si="77"/>
        <v>0.55913478014516638</v>
      </c>
      <c r="AJ54" s="30">
        <f t="shared" si="78"/>
        <v>6.1636156387308034</v>
      </c>
    </row>
    <row r="55" spans="1:36" x14ac:dyDescent="0.25">
      <c r="A55" t="s">
        <v>107</v>
      </c>
      <c r="B55">
        <v>165.2</v>
      </c>
      <c r="C55">
        <v>4.5</v>
      </c>
      <c r="D55">
        <v>422</v>
      </c>
      <c r="E55">
        <v>200</v>
      </c>
      <c r="F55">
        <v>40.9</v>
      </c>
      <c r="G55" s="7">
        <f t="shared" si="4"/>
        <v>35.417290900407103</v>
      </c>
      <c r="H55">
        <v>4956</v>
      </c>
      <c r="I55" s="7">
        <f t="shared" si="65"/>
        <v>30.000000000000004</v>
      </c>
      <c r="J55" s="31">
        <f t="shared" si="66"/>
        <v>1.4434760196704064</v>
      </c>
      <c r="K55" s="32">
        <f t="shared" si="67"/>
        <v>36.711111111111109</v>
      </c>
      <c r="L55" s="33">
        <f t="shared" si="68"/>
        <v>0.73248647228789066</v>
      </c>
      <c r="M55">
        <v>781</v>
      </c>
      <c r="N55" s="4">
        <f t="shared" si="79"/>
        <v>1625</v>
      </c>
      <c r="O55" s="4">
        <f t="shared" si="80"/>
        <v>2064</v>
      </c>
      <c r="P55" s="34">
        <f t="shared" si="81"/>
        <v>1742.4634705808403</v>
      </c>
      <c r="Q55" s="35">
        <f t="shared" si="82"/>
        <v>1742.4634705808403</v>
      </c>
      <c r="R55" s="35">
        <f t="shared" si="83"/>
        <v>692.30537849508471</v>
      </c>
      <c r="S55" s="30">
        <f t="shared" si="84"/>
        <v>1.1281148814670736</v>
      </c>
      <c r="T55" s="36">
        <f t="shared" si="85"/>
        <v>0.55020816629318292</v>
      </c>
      <c r="X55" s="4">
        <v>290</v>
      </c>
      <c r="Y55" s="37">
        <v>0</v>
      </c>
      <c r="Z55" s="4">
        <v>4</v>
      </c>
      <c r="AB55" t="s">
        <v>6</v>
      </c>
      <c r="AC55" s="35">
        <f t="shared" si="71"/>
        <v>1742.4634705808403</v>
      </c>
      <c r="AD55" s="4">
        <f t="shared" si="72"/>
        <v>1.4408247739132403</v>
      </c>
      <c r="AE55" s="4">
        <f t="shared" si="73"/>
        <v>0</v>
      </c>
      <c r="AF55" s="4">
        <f t="shared" si="74"/>
        <v>1</v>
      </c>
      <c r="AG55" s="4">
        <f t="shared" si="75"/>
        <v>0</v>
      </c>
      <c r="AH55" s="4">
        <f t="shared" si="76"/>
        <v>1</v>
      </c>
      <c r="AI55" s="31">
        <f t="shared" si="77"/>
        <v>0.39731414183639019</v>
      </c>
      <c r="AJ55" s="30">
        <f t="shared" si="78"/>
        <v>13.536334177681432</v>
      </c>
    </row>
    <row r="56" spans="1:36" x14ac:dyDescent="0.25">
      <c r="A56" s="39" t="s">
        <v>112</v>
      </c>
      <c r="B56" s="40">
        <v>2008</v>
      </c>
      <c r="C56" s="40" t="s">
        <v>156</v>
      </c>
      <c r="G56" s="7"/>
      <c r="I56" s="7"/>
      <c r="J56" s="31"/>
      <c r="K56" s="32"/>
      <c r="L56" s="33"/>
      <c r="N56" s="4"/>
      <c r="O56" s="4"/>
      <c r="P56" s="34"/>
      <c r="Q56" s="35"/>
      <c r="R56" s="42" t="s">
        <v>163</v>
      </c>
      <c r="S56" s="45">
        <f>AVERAGE(S52:S55)</f>
        <v>0.98035875504729808</v>
      </c>
      <c r="T56" s="36"/>
      <c r="X56" s="4"/>
      <c r="Y56" s="37"/>
      <c r="Z56" s="4"/>
      <c r="AC56" s="35"/>
      <c r="AD56" s="4"/>
      <c r="AE56" s="4"/>
      <c r="AF56" s="4"/>
      <c r="AG56" s="4"/>
      <c r="AH56" s="4"/>
      <c r="AI56" s="31"/>
      <c r="AJ56" s="30"/>
    </row>
    <row r="57" spans="1:36" x14ac:dyDescent="0.25">
      <c r="A57" t="s">
        <v>108</v>
      </c>
      <c r="B57">
        <v>100</v>
      </c>
      <c r="C57">
        <v>1.9</v>
      </c>
      <c r="D57">
        <v>404</v>
      </c>
      <c r="E57">
        <v>200</v>
      </c>
      <c r="F57">
        <v>97.3</v>
      </c>
      <c r="G57" s="7">
        <f t="shared" si="4"/>
        <v>44.58114229886813</v>
      </c>
      <c r="H57">
        <v>900</v>
      </c>
      <c r="I57" s="7">
        <f t="shared" ref="I57:I62" si="86">(H57/B57)</f>
        <v>9</v>
      </c>
      <c r="J57" s="31">
        <f t="shared" ref="J57:J62" si="87">SQRT((64*AC57*H57*H57)/(PI()^3*((B57^4-(B57-2*C57)^4)*E57+(B57-2*C57)^4*G57*0.8/1.35)))</f>
        <v>0.55440883790323348</v>
      </c>
      <c r="K57" s="32">
        <f t="shared" ref="K57:K62" si="88">B57/C57</f>
        <v>52.631578947368425</v>
      </c>
      <c r="L57" s="33">
        <f t="shared" ref="L57:L62" si="89">K57/(90*235/D57)</f>
        <v>1.0053502550703</v>
      </c>
      <c r="M57">
        <v>1065</v>
      </c>
      <c r="N57" s="4">
        <f t="shared" ref="N57:N62" si="90">ROUND((0.85*F57*(B57-2*C57)^2+D57*(B57*B57-(B57-2*C57)^2))*PI()/4000,0)</f>
        <v>838</v>
      </c>
      <c r="O57" s="4">
        <f t="shared" ref="O57:O62" si="91">ROUND((0.85*F57+6*C57*D57/(B57-2*C57))*PI()*(B57-2*C57)^2/4000,0)</f>
        <v>949</v>
      </c>
      <c r="P57" s="34">
        <f t="shared" ref="P57:P62" si="92">PI()*((B57*B57-(B57-2*C57)^2)*D57+(B57-2*C57)^2*F57)/4000</f>
        <v>943.78411114300502</v>
      </c>
      <c r="Q57" s="35">
        <f t="shared" ref="Q57:Q62" si="93">0.00025*PI()*((B57*B57-(B57-2*C57)^2)*D57*AH57+F57*(B57-2*C57)^2*(1+AG57*C57*D57/(B57*F57)))</f>
        <v>943.78411114300502</v>
      </c>
      <c r="R57" s="35">
        <f t="shared" ref="R57:R62" si="94">AI57*Q57</f>
        <v>855.51859847451112</v>
      </c>
      <c r="S57" s="30">
        <f t="shared" ref="S57:S62" si="95">M57/R57</f>
        <v>1.2448589684654647</v>
      </c>
      <c r="T57" s="36">
        <f t="shared" ref="T57:T62" si="96">(PI()*(B57-C57)*C57*D57)/(1000*P57)</f>
        <v>0.25065777745860529</v>
      </c>
      <c r="X57" s="4">
        <v>290</v>
      </c>
      <c r="Y57" s="37">
        <v>0</v>
      </c>
      <c r="Z57" s="4">
        <v>4</v>
      </c>
      <c r="AC57" s="35">
        <f t="shared" ref="AC57:AC62" si="97">0.00025*PI()*((B57*B57-(B57-2*C57)^2)*D57+F57*(B57-2*C57)^2)</f>
        <v>943.78411114300502</v>
      </c>
      <c r="AD57" s="4">
        <f t="shared" ref="AD57:AD62" si="98">SQRT((64*AC57*H57*H57)/(PI()^3*((B57^4-(B57-2*C57)^4)*E57+(B57-2*C57)^4*G57*0.6)))</f>
        <v>0.55288793964599936</v>
      </c>
      <c r="AE57" s="4">
        <f t="shared" ref="AE57:AE62" si="99">IF(AD57&gt;0.5,0,AJ57)</f>
        <v>0</v>
      </c>
      <c r="AF57" s="4">
        <f t="shared" ref="AF57:AF62" si="100">IF((0.25*(3+2*AD57))&gt;1,1,(0.25*(3+2*AD57)))</f>
        <v>1</v>
      </c>
      <c r="AG57" s="4">
        <f t="shared" ref="AG57:AG62" si="101">AE57</f>
        <v>0</v>
      </c>
      <c r="AH57" s="4">
        <f t="shared" ref="AH57:AH62" si="102">AF57</f>
        <v>1</v>
      </c>
      <c r="AI57" s="31">
        <f t="shared" ref="AI57:AI62" si="103">IF(J57&lt;0.2,1,1/(0.5*(1+0.21*(J57-0.2)+J57*J57)+SQRT((0.5*(1+0.21*(J57-0.2)+J57*J57))^2-J57*J57)))</f>
        <v>0.90647700927959396</v>
      </c>
      <c r="AJ57" s="30">
        <f t="shared" ref="AJ57:AJ62" si="104">IF((4.9-18.5*AD57+17*AD57*AD57)&lt;0,0,(4.9-18.5*AD57+17*AD57*AD57))</f>
        <v>0</v>
      </c>
    </row>
    <row r="58" spans="1:36" x14ac:dyDescent="0.25">
      <c r="A58" t="s">
        <v>109</v>
      </c>
      <c r="B58">
        <v>100</v>
      </c>
      <c r="C58">
        <v>1.9</v>
      </c>
      <c r="D58">
        <v>404</v>
      </c>
      <c r="E58">
        <v>200</v>
      </c>
      <c r="F58">
        <v>97.3</v>
      </c>
      <c r="G58" s="7">
        <f t="shared" si="4"/>
        <v>44.58114229886813</v>
      </c>
      <c r="H58">
        <v>900</v>
      </c>
      <c r="I58" s="7">
        <f t="shared" si="86"/>
        <v>9</v>
      </c>
      <c r="J58" s="31">
        <f t="shared" si="87"/>
        <v>0.55440883790323348</v>
      </c>
      <c r="K58" s="32">
        <f t="shared" si="88"/>
        <v>52.631578947368425</v>
      </c>
      <c r="L58" s="33">
        <f t="shared" si="89"/>
        <v>1.0053502550703</v>
      </c>
      <c r="M58">
        <v>980</v>
      </c>
      <c r="N58" s="4">
        <f t="shared" si="90"/>
        <v>838</v>
      </c>
      <c r="O58" s="4">
        <f t="shared" si="91"/>
        <v>949</v>
      </c>
      <c r="P58" s="34">
        <f t="shared" si="92"/>
        <v>943.78411114300502</v>
      </c>
      <c r="Q58" s="35">
        <f t="shared" si="93"/>
        <v>943.78411114300502</v>
      </c>
      <c r="R58" s="35">
        <f t="shared" si="94"/>
        <v>855.51859847451112</v>
      </c>
      <c r="S58" s="30">
        <f t="shared" si="95"/>
        <v>1.1455040273203336</v>
      </c>
      <c r="T58" s="36">
        <f t="shared" si="96"/>
        <v>0.25065777745860529</v>
      </c>
      <c r="X58" s="4">
        <v>290</v>
      </c>
      <c r="Y58" s="37">
        <v>0</v>
      </c>
      <c r="Z58" s="4">
        <v>4</v>
      </c>
      <c r="AC58" s="35">
        <f t="shared" si="97"/>
        <v>943.78411114300502</v>
      </c>
      <c r="AD58" s="4">
        <f t="shared" si="98"/>
        <v>0.55288793964599936</v>
      </c>
      <c r="AE58" s="4">
        <f t="shared" si="99"/>
        <v>0</v>
      </c>
      <c r="AF58" s="4">
        <f t="shared" si="100"/>
        <v>1</v>
      </c>
      <c r="AG58" s="4">
        <f t="shared" si="101"/>
        <v>0</v>
      </c>
      <c r="AH58" s="4">
        <f t="shared" si="102"/>
        <v>1</v>
      </c>
      <c r="AI58" s="31">
        <f t="shared" si="103"/>
        <v>0.90647700927959396</v>
      </c>
      <c r="AJ58" s="30">
        <f t="shared" si="104"/>
        <v>0</v>
      </c>
    </row>
    <row r="59" spans="1:36" x14ac:dyDescent="0.25">
      <c r="A59" t="s">
        <v>110</v>
      </c>
      <c r="B59">
        <v>100</v>
      </c>
      <c r="C59">
        <v>1.9</v>
      </c>
      <c r="D59">
        <v>404</v>
      </c>
      <c r="E59">
        <v>200</v>
      </c>
      <c r="F59">
        <v>97.3</v>
      </c>
      <c r="G59" s="7">
        <f t="shared" si="4"/>
        <v>44.58114229886813</v>
      </c>
      <c r="H59">
        <v>1500</v>
      </c>
      <c r="I59" s="7">
        <f t="shared" si="86"/>
        <v>15</v>
      </c>
      <c r="J59" s="31">
        <f t="shared" si="87"/>
        <v>0.92401472983872235</v>
      </c>
      <c r="K59" s="32">
        <f t="shared" si="88"/>
        <v>52.631578947368425</v>
      </c>
      <c r="L59" s="33">
        <f t="shared" si="89"/>
        <v>1.0053502550703</v>
      </c>
      <c r="M59">
        <v>907</v>
      </c>
      <c r="N59" s="4">
        <f t="shared" si="90"/>
        <v>838</v>
      </c>
      <c r="O59" s="4">
        <f t="shared" si="91"/>
        <v>949</v>
      </c>
      <c r="P59" s="34">
        <f t="shared" si="92"/>
        <v>943.78411114300502</v>
      </c>
      <c r="Q59" s="35">
        <f t="shared" si="93"/>
        <v>943.78411114300502</v>
      </c>
      <c r="R59" s="35">
        <f t="shared" si="94"/>
        <v>677.58664336528716</v>
      </c>
      <c r="S59" s="30">
        <f t="shared" si="95"/>
        <v>1.3385742013675379</v>
      </c>
      <c r="T59" s="36">
        <f t="shared" si="96"/>
        <v>0.25065777745860529</v>
      </c>
      <c r="X59" s="4">
        <v>290</v>
      </c>
      <c r="Y59" s="37">
        <v>0</v>
      </c>
      <c r="Z59" s="4">
        <v>4</v>
      </c>
      <c r="AC59" s="35">
        <f t="shared" si="97"/>
        <v>943.78411114300502</v>
      </c>
      <c r="AD59" s="4">
        <f t="shared" si="98"/>
        <v>0.92147989940999886</v>
      </c>
      <c r="AE59" s="4">
        <f t="shared" si="99"/>
        <v>0</v>
      </c>
      <c r="AF59" s="4">
        <f t="shared" si="100"/>
        <v>1</v>
      </c>
      <c r="AG59" s="4">
        <f t="shared" si="101"/>
        <v>0</v>
      </c>
      <c r="AH59" s="4">
        <f t="shared" si="102"/>
        <v>1</v>
      </c>
      <c r="AI59" s="31">
        <f t="shared" si="103"/>
        <v>0.71794665259268942</v>
      </c>
      <c r="AJ59" s="30">
        <f t="shared" si="104"/>
        <v>2.2877503461982673</v>
      </c>
    </row>
    <row r="60" spans="1:36" x14ac:dyDescent="0.25">
      <c r="A60" t="s">
        <v>111</v>
      </c>
      <c r="B60">
        <v>100</v>
      </c>
      <c r="C60">
        <v>1.9</v>
      </c>
      <c r="D60">
        <v>404</v>
      </c>
      <c r="E60">
        <v>200</v>
      </c>
      <c r="F60">
        <v>97.3</v>
      </c>
      <c r="G60" s="7">
        <f t="shared" si="4"/>
        <v>44.58114229886813</v>
      </c>
      <c r="H60">
        <v>1500</v>
      </c>
      <c r="I60" s="7">
        <f t="shared" si="86"/>
        <v>15</v>
      </c>
      <c r="J60" s="31">
        <f t="shared" si="87"/>
        <v>0.92401472983872235</v>
      </c>
      <c r="K60" s="32">
        <f t="shared" si="88"/>
        <v>52.631578947368425</v>
      </c>
      <c r="L60" s="33">
        <f t="shared" si="89"/>
        <v>1.0053502550703</v>
      </c>
      <c r="M60">
        <v>760</v>
      </c>
      <c r="N60" s="4">
        <f t="shared" si="90"/>
        <v>838</v>
      </c>
      <c r="O60" s="4">
        <f t="shared" si="91"/>
        <v>949</v>
      </c>
      <c r="P60" s="34">
        <f t="shared" si="92"/>
        <v>943.78411114300502</v>
      </c>
      <c r="Q60" s="35">
        <f t="shared" si="93"/>
        <v>943.78411114300502</v>
      </c>
      <c r="R60" s="35">
        <f t="shared" si="94"/>
        <v>677.58664336528716</v>
      </c>
      <c r="S60" s="30">
        <f t="shared" si="95"/>
        <v>1.1216277762285876</v>
      </c>
      <c r="T60" s="36">
        <f t="shared" si="96"/>
        <v>0.25065777745860529</v>
      </c>
      <c r="X60" s="4">
        <v>290</v>
      </c>
      <c r="Y60" s="37">
        <v>0</v>
      </c>
      <c r="Z60" s="4">
        <v>4</v>
      </c>
      <c r="AC60" s="35">
        <f t="shared" si="97"/>
        <v>943.78411114300502</v>
      </c>
      <c r="AD60" s="4">
        <f t="shared" si="98"/>
        <v>0.92147989940999886</v>
      </c>
      <c r="AE60" s="4">
        <f t="shared" si="99"/>
        <v>0</v>
      </c>
      <c r="AF60" s="4">
        <f t="shared" si="100"/>
        <v>1</v>
      </c>
      <c r="AG60" s="4">
        <f t="shared" si="101"/>
        <v>0</v>
      </c>
      <c r="AH60" s="4">
        <f t="shared" si="102"/>
        <v>1</v>
      </c>
      <c r="AI60" s="31">
        <f t="shared" si="103"/>
        <v>0.71794665259268942</v>
      </c>
      <c r="AJ60" s="30">
        <f t="shared" si="104"/>
        <v>2.2877503461982673</v>
      </c>
    </row>
    <row r="61" spans="1:36" x14ac:dyDescent="0.25">
      <c r="A61" t="s">
        <v>113</v>
      </c>
      <c r="B61">
        <v>100</v>
      </c>
      <c r="C61">
        <v>1.9</v>
      </c>
      <c r="D61">
        <v>404</v>
      </c>
      <c r="E61">
        <v>200</v>
      </c>
      <c r="F61">
        <v>97.3</v>
      </c>
      <c r="G61" s="7">
        <f t="shared" si="4"/>
        <v>44.58114229886813</v>
      </c>
      <c r="H61">
        <v>3000</v>
      </c>
      <c r="I61" s="7">
        <f t="shared" si="86"/>
        <v>30</v>
      </c>
      <c r="J61" s="31">
        <f t="shared" si="87"/>
        <v>1.8480294596774447</v>
      </c>
      <c r="K61" s="32">
        <f t="shared" si="88"/>
        <v>52.631578947368425</v>
      </c>
      <c r="L61" s="33">
        <f t="shared" si="89"/>
        <v>1.0053502550703</v>
      </c>
      <c r="M61">
        <v>288</v>
      </c>
      <c r="N61" s="4">
        <f t="shared" si="90"/>
        <v>838</v>
      </c>
      <c r="O61" s="4">
        <f t="shared" si="91"/>
        <v>949</v>
      </c>
      <c r="P61" s="34">
        <f t="shared" si="92"/>
        <v>943.78411114300502</v>
      </c>
      <c r="Q61" s="35">
        <f t="shared" si="93"/>
        <v>943.78411114300502</v>
      </c>
      <c r="R61" s="35">
        <f t="shared" si="94"/>
        <v>243.15501984996581</v>
      </c>
      <c r="S61" s="30">
        <f t="shared" si="95"/>
        <v>1.1844295880780291</v>
      </c>
      <c r="T61" s="36">
        <f t="shared" si="96"/>
        <v>0.25065777745860529</v>
      </c>
      <c r="X61" s="4">
        <v>290</v>
      </c>
      <c r="Y61" s="37">
        <v>0</v>
      </c>
      <c r="Z61" s="4">
        <v>4</v>
      </c>
      <c r="AC61" s="35">
        <f t="shared" si="97"/>
        <v>943.78411114300502</v>
      </c>
      <c r="AD61" s="4">
        <f t="shared" si="98"/>
        <v>1.8429597988199977</v>
      </c>
      <c r="AE61" s="4">
        <f t="shared" si="99"/>
        <v>0</v>
      </c>
      <c r="AF61" s="4">
        <f t="shared" si="100"/>
        <v>1</v>
      </c>
      <c r="AG61" s="4">
        <f t="shared" si="101"/>
        <v>0</v>
      </c>
      <c r="AH61" s="4">
        <f t="shared" si="102"/>
        <v>1</v>
      </c>
      <c r="AI61" s="31">
        <f t="shared" si="103"/>
        <v>0.25763839100393821</v>
      </c>
      <c r="AJ61" s="30">
        <f t="shared" si="104"/>
        <v>28.545757662963027</v>
      </c>
    </row>
    <row r="62" spans="1:36" x14ac:dyDescent="0.25">
      <c r="A62" t="s">
        <v>114</v>
      </c>
      <c r="B62">
        <v>100</v>
      </c>
      <c r="C62">
        <v>1.9</v>
      </c>
      <c r="D62">
        <v>404</v>
      </c>
      <c r="E62">
        <v>200</v>
      </c>
      <c r="F62">
        <v>97.3</v>
      </c>
      <c r="G62" s="7">
        <f t="shared" si="4"/>
        <v>44.58114229886813</v>
      </c>
      <c r="H62">
        <v>3000</v>
      </c>
      <c r="I62" s="7">
        <f t="shared" si="86"/>
        <v>30</v>
      </c>
      <c r="J62" s="31">
        <f t="shared" si="87"/>
        <v>1.8480294596774447</v>
      </c>
      <c r="K62" s="32">
        <f t="shared" si="88"/>
        <v>52.631578947368425</v>
      </c>
      <c r="L62" s="33">
        <f t="shared" si="89"/>
        <v>1.0053502550703</v>
      </c>
      <c r="M62">
        <v>317.5</v>
      </c>
      <c r="N62" s="4">
        <f t="shared" si="90"/>
        <v>838</v>
      </c>
      <c r="O62" s="4">
        <f t="shared" si="91"/>
        <v>949</v>
      </c>
      <c r="P62" s="34">
        <f t="shared" si="92"/>
        <v>943.78411114300502</v>
      </c>
      <c r="Q62" s="35">
        <f t="shared" si="93"/>
        <v>943.78411114300502</v>
      </c>
      <c r="R62" s="35">
        <f t="shared" si="94"/>
        <v>243.15501984996581</v>
      </c>
      <c r="S62" s="30">
        <f t="shared" si="95"/>
        <v>1.3057513688012994</v>
      </c>
      <c r="T62" s="36">
        <f t="shared" si="96"/>
        <v>0.25065777745860529</v>
      </c>
      <c r="X62" s="4">
        <v>290</v>
      </c>
      <c r="Y62" s="37">
        <v>0</v>
      </c>
      <c r="Z62" s="4">
        <v>4</v>
      </c>
      <c r="AC62" s="35">
        <f t="shared" si="97"/>
        <v>943.78411114300502</v>
      </c>
      <c r="AD62" s="4">
        <f t="shared" si="98"/>
        <v>1.8429597988199977</v>
      </c>
      <c r="AE62" s="4">
        <f t="shared" si="99"/>
        <v>0</v>
      </c>
      <c r="AF62" s="4">
        <f t="shared" si="100"/>
        <v>1</v>
      </c>
      <c r="AG62" s="4">
        <f t="shared" si="101"/>
        <v>0</v>
      </c>
      <c r="AH62" s="4">
        <f t="shared" si="102"/>
        <v>1</v>
      </c>
      <c r="AI62" s="31">
        <f t="shared" si="103"/>
        <v>0.25763839100393821</v>
      </c>
      <c r="AJ62" s="30">
        <f t="shared" si="104"/>
        <v>28.545757662963027</v>
      </c>
    </row>
    <row r="63" spans="1:36" x14ac:dyDescent="0.25">
      <c r="A63" s="39" t="s">
        <v>117</v>
      </c>
      <c r="B63" s="40">
        <v>2011</v>
      </c>
      <c r="C63" s="40" t="s">
        <v>157</v>
      </c>
      <c r="G63" s="7"/>
      <c r="I63" s="7"/>
      <c r="J63" s="31"/>
      <c r="K63" s="32"/>
      <c r="L63" s="33"/>
      <c r="N63" s="4"/>
      <c r="O63" s="4"/>
      <c r="P63" s="34"/>
      <c r="Q63" s="35"/>
      <c r="R63" s="42" t="s">
        <v>162</v>
      </c>
      <c r="S63" s="45">
        <f>AVERAGE(S57:S62)</f>
        <v>1.2234576550435421</v>
      </c>
      <c r="T63" s="36"/>
      <c r="X63" s="4"/>
      <c r="Y63" s="37"/>
      <c r="Z63" s="4"/>
      <c r="AC63" s="35"/>
      <c r="AD63" s="4"/>
      <c r="AE63" s="4"/>
      <c r="AF63" s="4"/>
      <c r="AG63" s="4"/>
      <c r="AH63" s="4"/>
      <c r="AI63" s="31"/>
      <c r="AJ63" s="30"/>
    </row>
    <row r="64" spans="1:36" x14ac:dyDescent="0.25">
      <c r="A64" t="s">
        <v>115</v>
      </c>
      <c r="B64">
        <v>360</v>
      </c>
      <c r="C64">
        <v>6</v>
      </c>
      <c r="D64">
        <v>498</v>
      </c>
      <c r="E64">
        <v>200</v>
      </c>
      <c r="F64">
        <v>31.5</v>
      </c>
      <c r="G64" s="7">
        <f t="shared" si="4"/>
        <v>33.22016685939893</v>
      </c>
      <c r="H64">
        <v>1760</v>
      </c>
      <c r="I64" s="7">
        <f t="shared" ref="I64:I65" si="105">(H64/B64)</f>
        <v>4.8888888888888893</v>
      </c>
      <c r="J64" s="31">
        <f t="shared" ref="J64:J65" si="106">SQRT((64*AC64*H64*H64)/(PI()^3*((B64^4-(B64-2*C64)^4)*E64+(B64-2*C64)^4*G64*0.8/1.35)))</f>
        <v>0.23776094792202768</v>
      </c>
      <c r="K64" s="32">
        <f t="shared" ref="K64:K65" si="107">B64/C64</f>
        <v>60</v>
      </c>
      <c r="L64" s="33">
        <f t="shared" ref="L64:L65" si="108">K64/(90*235/D64)</f>
        <v>1.4127659574468086</v>
      </c>
      <c r="M64">
        <v>6888</v>
      </c>
      <c r="N64" s="4">
        <f t="shared" ref="N64:N65" si="109">ROUND((0.85*F64*(B64-2*C64)^2+D64*(B64*B64-(B64-2*C64)^2))*PI()/4000,0)</f>
        <v>5870</v>
      </c>
      <c r="O64" s="4">
        <f t="shared" ref="O64:O65" si="110">ROUND((0.85*F64+6*C64*D64/(B64-2*C64))*PI()*(B64-2*C64)^2/4000,0)</f>
        <v>7447</v>
      </c>
      <c r="P64" s="34">
        <f t="shared" ref="P64:P65" si="111">PI()*((B64*B64-(B64-2*C64)^2)*D64+(B64-2*C64)^2*F64)/4000</f>
        <v>6319.1439766925751</v>
      </c>
      <c r="Q64" s="35">
        <f t="shared" ref="Q64:Q65" si="112">0.00025*PI()*((B64*B64-(B64-2*C64)^2)*D64*AH64+F64*(B64-2*C64)^2*(1+AG64*C64*D64/(B64*F64)))</f>
        <v>7041.8849578338677</v>
      </c>
      <c r="R64" s="35">
        <f t="shared" ref="R64:R65" si="113">AI64*Q64</f>
        <v>6983.2207440818793</v>
      </c>
      <c r="S64" s="30">
        <f t="shared" ref="S64:S65" si="114">M64/R64</f>
        <v>0.98636435141154932</v>
      </c>
      <c r="T64" s="36">
        <f t="shared" ref="T64:T65" si="115">(PI()*(B64-C64)*C64*D64)/(1000*P64)</f>
        <v>0.52586646621385813</v>
      </c>
      <c r="X64" s="4">
        <v>290</v>
      </c>
      <c r="Y64" s="37">
        <v>0</v>
      </c>
      <c r="Z64" s="4">
        <v>4</v>
      </c>
      <c r="AC64" s="35">
        <f t="shared" ref="AC64:AC65" si="116">0.00025*PI()*((B64*B64-(B64-2*C64)^2)*D64+F64*(B64-2*C64)^2)</f>
        <v>6319.1439766925751</v>
      </c>
      <c r="AD64" s="4">
        <f t="shared" ref="AD64:AD65" si="117">SQRT((64*AC64*H64*H64)/(PI()^3*((B64^4-(B64-2*C64)^4)*E64+(B64-2*C64)^4*G64*0.6)))</f>
        <v>0.23716291966856182</v>
      </c>
      <c r="AE64" s="4">
        <f t="shared" ref="AE64:AE65" si="118">IF(AD64&gt;0.5,0,AJ64)</f>
        <v>1.4686722440487905</v>
      </c>
      <c r="AF64" s="4">
        <f t="shared" ref="AF64:AF65" si="119">IF((0.25*(3+2*AD64))&gt;1,1,(0.25*(3+2*AD64)))</f>
        <v>0.86858145983428092</v>
      </c>
      <c r="AG64" s="4">
        <f t="shared" ref="AG64:AG65" si="120">AE64</f>
        <v>1.4686722440487905</v>
      </c>
      <c r="AH64" s="4">
        <f t="shared" ref="AH64:AH65" si="121">AF64</f>
        <v>0.86858145983428092</v>
      </c>
      <c r="AI64" s="31">
        <f t="shared" ref="AI64:AI65" si="122">IF(J64&lt;0.2,1,1/(0.5*(1+0.21*(J64-0.2)+J64*J64)+SQRT((0.5*(1+0.21*(J64-0.2)+J64*J64))^2-J64*J64)))</f>
        <v>0.99166924564896131</v>
      </c>
      <c r="AJ64" s="30">
        <f t="shared" ref="AJ64:AJ65" si="123">IF((4.9-18.5*AD64+17*AD64*AD64)&lt;0,0,(4.9-18.5*AD64+17*AD64*AD64))</f>
        <v>1.4686722440487905</v>
      </c>
    </row>
    <row r="65" spans="1:36" x14ac:dyDescent="0.25">
      <c r="A65" t="s">
        <v>116</v>
      </c>
      <c r="B65">
        <v>300</v>
      </c>
      <c r="C65">
        <v>12</v>
      </c>
      <c r="D65">
        <v>479</v>
      </c>
      <c r="E65">
        <v>200</v>
      </c>
      <c r="F65">
        <v>31.5</v>
      </c>
      <c r="G65" s="7">
        <f t="shared" si="4"/>
        <v>33.22016685939893</v>
      </c>
      <c r="H65">
        <v>1580</v>
      </c>
      <c r="I65" s="7">
        <f t="shared" si="105"/>
        <v>5.2666666666666666</v>
      </c>
      <c r="J65" s="31">
        <f t="shared" si="106"/>
        <v>0.25227054995077303</v>
      </c>
      <c r="K65" s="32">
        <f t="shared" si="107"/>
        <v>25</v>
      </c>
      <c r="L65" s="33">
        <f t="shared" si="108"/>
        <v>0.56619385342789597</v>
      </c>
      <c r="M65">
        <v>9823</v>
      </c>
      <c r="N65" s="4">
        <f t="shared" si="109"/>
        <v>6803</v>
      </c>
      <c r="O65" s="4">
        <f t="shared" si="110"/>
        <v>9078</v>
      </c>
      <c r="P65" s="34">
        <f t="shared" si="111"/>
        <v>7085.2653275675957</v>
      </c>
      <c r="Q65" s="35">
        <f t="shared" si="112"/>
        <v>7951.1052369563977</v>
      </c>
      <c r="R65" s="35">
        <f t="shared" si="113"/>
        <v>7859.0471409283355</v>
      </c>
      <c r="S65" s="30">
        <f t="shared" si="114"/>
        <v>1.2498970707076935</v>
      </c>
      <c r="T65" s="36">
        <f t="shared" si="115"/>
        <v>0.73401173231174421</v>
      </c>
      <c r="X65" s="4">
        <v>290</v>
      </c>
      <c r="Y65" s="37">
        <v>0</v>
      </c>
      <c r="Z65" s="4">
        <v>4</v>
      </c>
      <c r="AC65" s="35">
        <f t="shared" si="116"/>
        <v>7085.2653275675966</v>
      </c>
      <c r="AD65" s="4">
        <f t="shared" si="117"/>
        <v>0.25195717551185293</v>
      </c>
      <c r="AE65" s="4">
        <f t="shared" si="118"/>
        <v>1.3179933639932022</v>
      </c>
      <c r="AF65" s="4">
        <f t="shared" si="119"/>
        <v>0.87597858775592652</v>
      </c>
      <c r="AG65" s="4">
        <f t="shared" si="120"/>
        <v>1.3179933639932022</v>
      </c>
      <c r="AH65" s="4">
        <f t="shared" si="121"/>
        <v>0.87597858775592652</v>
      </c>
      <c r="AI65" s="31">
        <f t="shared" si="122"/>
        <v>0.98842197489725325</v>
      </c>
      <c r="AJ65" s="30">
        <f t="shared" si="123"/>
        <v>1.3179933639932022</v>
      </c>
    </row>
    <row r="66" spans="1:36" x14ac:dyDescent="0.25">
      <c r="A66" s="39" t="s">
        <v>121</v>
      </c>
      <c r="B66" s="40">
        <v>2012</v>
      </c>
      <c r="C66" s="40" t="s">
        <v>158</v>
      </c>
      <c r="G66" s="7"/>
      <c r="I66" s="7"/>
      <c r="J66" s="31"/>
      <c r="K66" s="32"/>
      <c r="L66" s="33"/>
      <c r="N66" s="4"/>
      <c r="O66" s="4"/>
      <c r="P66" s="34"/>
      <c r="Q66" s="35"/>
      <c r="R66" s="42" t="s">
        <v>164</v>
      </c>
      <c r="S66" s="45">
        <f>AVERAGE(S64:S65)</f>
        <v>1.1181307110596215</v>
      </c>
      <c r="T66" s="36"/>
      <c r="X66" s="4"/>
      <c r="Y66" s="37"/>
      <c r="Z66" s="4"/>
      <c r="AC66" s="35"/>
      <c r="AD66" s="4"/>
      <c r="AE66" s="4"/>
      <c r="AF66" s="4"/>
      <c r="AG66" s="4"/>
      <c r="AH66" s="4"/>
      <c r="AI66" s="31"/>
      <c r="AJ66" s="30"/>
    </row>
    <row r="67" spans="1:36" x14ac:dyDescent="0.25">
      <c r="A67" t="s">
        <v>119</v>
      </c>
      <c r="B67">
        <v>114.85</v>
      </c>
      <c r="C67">
        <v>3</v>
      </c>
      <c r="D67">
        <v>354.05</v>
      </c>
      <c r="E67">
        <v>200</v>
      </c>
      <c r="F67">
        <v>40.299999999999997</v>
      </c>
      <c r="G67" s="7">
        <f t="shared" si="4"/>
        <v>35.286356706275697</v>
      </c>
      <c r="H67">
        <v>1000</v>
      </c>
      <c r="I67" s="7">
        <f t="shared" ref="I67:I90" si="124">(H67/B67)</f>
        <v>8.7070091423596008</v>
      </c>
      <c r="J67" s="31">
        <f t="shared" ref="J67:J90" si="125">SQRT((64*AC67*H67*H67)/(PI()^3*((B67^4-(B67-2*C67)^4)*E67+(B67-2*C67)^4*G67*0.8/1.35)))</f>
        <v>0.39991527860016579</v>
      </c>
      <c r="K67" s="32">
        <f t="shared" ref="K67:K90" si="126">B67/C67</f>
        <v>38.283333333333331</v>
      </c>
      <c r="L67" s="33">
        <f t="shared" ref="L67:L90" si="127">K67/(90*235/D67)</f>
        <v>0.64086118991331753</v>
      </c>
      <c r="M67">
        <v>806.4</v>
      </c>
      <c r="N67" s="4">
        <f t="shared" ref="N67:N90" si="128">ROUND((0.85*F67*(B67-2*C67)^2+D67*(B67*B67-(B67-2*C67)^2))*PI()/4000,0)</f>
        <v>692</v>
      </c>
      <c r="O67" s="4">
        <f t="shared" ref="O67:O90" si="129">ROUND((0.85*F67+6*C67*D67/(B67-2*C67))*PI()*(B67-2*C67)^2/4000,0)</f>
        <v>864</v>
      </c>
      <c r="P67" s="34">
        <f t="shared" ref="P67:P90" si="130">PI()*((B67*B67-(B67-2*C67)^2)*D67+(B67-2*C67)^2*F67)/4000</f>
        <v>748.24357340249196</v>
      </c>
      <c r="Q67" s="35">
        <f t="shared" ref="Q67:Q90" si="131">0.00025*PI()*((B67*B67-(B67-2*C67)^2)*D67*AH67+F67*(B67-2*C67)^2*(1+AG67*C67*D67/(B67*F67)))</f>
        <v>748.71454931704272</v>
      </c>
      <c r="R67" s="35">
        <f t="shared" ref="R67:R90" si="132">AI67*Q67</f>
        <v>713.38094251635709</v>
      </c>
      <c r="S67" s="30">
        <f t="shared" ref="S67:S90" si="133">M67/R67</f>
        <v>1.1303918452818917</v>
      </c>
      <c r="T67" s="36">
        <f t="shared" ref="T67:T90" si="134">(PI()*(B67-C67)*C67*D67)/(1000*P67)</f>
        <v>0.49880261216603733</v>
      </c>
      <c r="X67" s="4">
        <v>290</v>
      </c>
      <c r="Y67" s="37">
        <v>0</v>
      </c>
      <c r="Z67" s="4">
        <v>4</v>
      </c>
      <c r="AC67" s="35">
        <f t="shared" ref="AC67:AC90" si="135">0.00025*PI()*((B67*B67-(B67-2*C67)^2)*D67+F67*(B67-2*C67)^2)</f>
        <v>748.24357340249207</v>
      </c>
      <c r="AD67" s="4">
        <f t="shared" ref="AD67:AD90" si="136">SQRT((64*AC67*H67*H67)/(PI()^3*((B67^4-(B67-2*C67)^4)*E67+(B67-2*C67)^4*G67*0.6)))</f>
        <v>0.39915765771917511</v>
      </c>
      <c r="AE67" s="4">
        <f t="shared" ref="AE67:AE90" si="137">IF(AD67&gt;0.5,0,AJ67)</f>
        <v>0.22413953936484932</v>
      </c>
      <c r="AF67" s="4">
        <f t="shared" ref="AF67:AF90" si="138">IF((0.25*(3+2*AD67))&gt;1,1,(0.25*(3+2*AD67)))</f>
        <v>0.94957882885958755</v>
      </c>
      <c r="AG67" s="4">
        <f t="shared" ref="AG67:AG90" si="139">AE67</f>
        <v>0.22413953936484932</v>
      </c>
      <c r="AH67" s="4">
        <f t="shared" ref="AH67:AH90" si="140">AF67</f>
        <v>0.94957882885958755</v>
      </c>
      <c r="AI67" s="31">
        <f t="shared" ref="AI67:AI90" si="141">IF(J67&lt;0.2,1,1/(0.5*(1+0.21*(J67-0.2)+J67*J67)+SQRT((0.5*(1+0.21*(J67-0.2)+J67*J67))^2-J67*J67)))</f>
        <v>0.95280763966331894</v>
      </c>
      <c r="AJ67" s="30">
        <f t="shared" ref="AJ67:AJ90" si="142">IF((4.9-18.5*AD67+17*AD67*AD67)&lt;0,0,(4.9-18.5*AD67+17*AD67*AD67))</f>
        <v>0.22413953936484932</v>
      </c>
    </row>
    <row r="68" spans="1:36" x14ac:dyDescent="0.25">
      <c r="A68" t="s">
        <v>120</v>
      </c>
      <c r="B68">
        <v>114.85</v>
      </c>
      <c r="C68">
        <v>3</v>
      </c>
      <c r="D68">
        <v>354.05</v>
      </c>
      <c r="E68">
        <v>200</v>
      </c>
      <c r="F68">
        <v>40.299999999999997</v>
      </c>
      <c r="G68" s="7">
        <f t="shared" si="4"/>
        <v>35.286356706275697</v>
      </c>
      <c r="H68">
        <v>1500</v>
      </c>
      <c r="I68" s="7">
        <f t="shared" si="124"/>
        <v>13.0605137135394</v>
      </c>
      <c r="J68" s="31">
        <f t="shared" si="125"/>
        <v>0.59987291790024866</v>
      </c>
      <c r="K68" s="32">
        <f t="shared" si="126"/>
        <v>38.283333333333331</v>
      </c>
      <c r="L68" s="33">
        <f t="shared" si="127"/>
        <v>0.64086118991331753</v>
      </c>
      <c r="M68">
        <v>688.2</v>
      </c>
      <c r="N68" s="4">
        <f t="shared" si="128"/>
        <v>692</v>
      </c>
      <c r="O68" s="4">
        <f t="shared" si="129"/>
        <v>864</v>
      </c>
      <c r="P68" s="34">
        <f t="shared" si="130"/>
        <v>748.24357340249196</v>
      </c>
      <c r="Q68" s="35">
        <f t="shared" si="131"/>
        <v>748.24357340249207</v>
      </c>
      <c r="R68" s="35">
        <f t="shared" si="132"/>
        <v>665.96908406441912</v>
      </c>
      <c r="S68" s="30">
        <f t="shared" si="133"/>
        <v>1.0333813032279295</v>
      </c>
      <c r="T68" s="36">
        <f t="shared" si="134"/>
        <v>0.49880261216603733</v>
      </c>
      <c r="X68" s="4">
        <v>290</v>
      </c>
      <c r="Y68" s="37">
        <v>0</v>
      </c>
      <c r="Z68" s="4">
        <v>4</v>
      </c>
      <c r="AC68" s="35">
        <f t="shared" si="135"/>
        <v>748.24357340249207</v>
      </c>
      <c r="AD68" s="4">
        <f t="shared" si="136"/>
        <v>0.59873648657876266</v>
      </c>
      <c r="AE68" s="4">
        <f t="shared" si="137"/>
        <v>0</v>
      </c>
      <c r="AF68" s="4">
        <f t="shared" si="138"/>
        <v>1</v>
      </c>
      <c r="AG68" s="4">
        <f t="shared" si="139"/>
        <v>0</v>
      </c>
      <c r="AH68" s="4">
        <f t="shared" si="140"/>
        <v>1</v>
      </c>
      <c r="AI68" s="31">
        <f t="shared" si="141"/>
        <v>0.89004317275463429</v>
      </c>
      <c r="AJ68" s="30">
        <f t="shared" si="142"/>
        <v>0</v>
      </c>
    </row>
    <row r="69" spans="1:36" x14ac:dyDescent="0.25">
      <c r="A69" t="s">
        <v>174</v>
      </c>
      <c r="B69">
        <v>114.85</v>
      </c>
      <c r="C69">
        <v>3</v>
      </c>
      <c r="D69">
        <v>354.05</v>
      </c>
      <c r="E69">
        <v>200</v>
      </c>
      <c r="F69">
        <v>40.299999999999997</v>
      </c>
      <c r="G69" s="7">
        <f t="shared" si="4"/>
        <v>35.286356706275697</v>
      </c>
      <c r="H69">
        <v>2000</v>
      </c>
      <c r="I69" s="7">
        <f t="shared" si="124"/>
        <v>17.414018284719202</v>
      </c>
      <c r="J69" s="31">
        <f t="shared" si="125"/>
        <v>0.79983055720033158</v>
      </c>
      <c r="K69" s="32">
        <f t="shared" si="126"/>
        <v>38.283333333333331</v>
      </c>
      <c r="L69" s="33">
        <f t="shared" si="127"/>
        <v>0.64086118991331753</v>
      </c>
      <c r="M69">
        <v>632.20000000000005</v>
      </c>
      <c r="N69" s="4">
        <f t="shared" si="128"/>
        <v>692</v>
      </c>
      <c r="O69" s="4">
        <f t="shared" si="129"/>
        <v>864</v>
      </c>
      <c r="P69" s="34">
        <f t="shared" si="130"/>
        <v>748.24357340249196</v>
      </c>
      <c r="Q69" s="35">
        <f t="shared" si="131"/>
        <v>748.24357340249207</v>
      </c>
      <c r="R69" s="35">
        <f t="shared" si="132"/>
        <v>595.45229341492939</v>
      </c>
      <c r="S69" s="30">
        <f t="shared" si="133"/>
        <v>1.0617139391206674</v>
      </c>
      <c r="T69" s="36">
        <f t="shared" si="134"/>
        <v>0.49880261216603733</v>
      </c>
      <c r="X69" s="4"/>
      <c r="Y69" s="37"/>
      <c r="Z69" s="4"/>
      <c r="AC69" s="35">
        <f t="shared" si="135"/>
        <v>748.24357340249207</v>
      </c>
      <c r="AD69" s="4">
        <f t="shared" si="136"/>
        <v>0.79831531543835021</v>
      </c>
      <c r="AE69" s="4">
        <f t="shared" si="137"/>
        <v>0</v>
      </c>
      <c r="AF69" s="4">
        <f t="shared" si="138"/>
        <v>1</v>
      </c>
      <c r="AG69" s="4">
        <f t="shared" si="139"/>
        <v>0</v>
      </c>
      <c r="AH69" s="4">
        <f t="shared" si="140"/>
        <v>1</v>
      </c>
      <c r="AI69" s="31">
        <f t="shared" si="141"/>
        <v>0.79580007711556533</v>
      </c>
      <c r="AJ69" s="30">
        <f t="shared" si="142"/>
        <v>0.96539149306887495</v>
      </c>
    </row>
    <row r="70" spans="1:36" x14ac:dyDescent="0.25">
      <c r="A70" t="s">
        <v>122</v>
      </c>
      <c r="B70">
        <v>114.85</v>
      </c>
      <c r="C70">
        <v>3</v>
      </c>
      <c r="D70">
        <v>354.05</v>
      </c>
      <c r="E70">
        <v>200</v>
      </c>
      <c r="F70">
        <v>40.299999999999997</v>
      </c>
      <c r="G70" s="7">
        <f t="shared" si="4"/>
        <v>35.286356706275697</v>
      </c>
      <c r="H70">
        <v>2500</v>
      </c>
      <c r="I70" s="7">
        <f t="shared" si="124"/>
        <v>21.767522855898999</v>
      </c>
      <c r="J70" s="31">
        <f t="shared" si="125"/>
        <v>0.99978819650041451</v>
      </c>
      <c r="K70" s="32">
        <f t="shared" si="126"/>
        <v>38.283333333333331</v>
      </c>
      <c r="L70" s="33">
        <f t="shared" si="127"/>
        <v>0.64086118991331753</v>
      </c>
      <c r="M70">
        <v>566.1</v>
      </c>
      <c r="N70" s="4">
        <f t="shared" si="128"/>
        <v>692</v>
      </c>
      <c r="O70" s="4">
        <f t="shared" si="129"/>
        <v>864</v>
      </c>
      <c r="P70" s="34">
        <f t="shared" si="130"/>
        <v>748.24357340249196</v>
      </c>
      <c r="Q70" s="35">
        <f t="shared" si="131"/>
        <v>748.24357340249207</v>
      </c>
      <c r="R70" s="35">
        <f t="shared" si="132"/>
        <v>498.14398917013591</v>
      </c>
      <c r="S70" s="30">
        <f t="shared" si="133"/>
        <v>1.1364184097515115</v>
      </c>
      <c r="T70" s="36">
        <f t="shared" si="134"/>
        <v>0.49880261216603733</v>
      </c>
      <c r="X70" s="4">
        <v>290</v>
      </c>
      <c r="Y70" s="37">
        <v>0</v>
      </c>
      <c r="Z70" s="4">
        <v>4</v>
      </c>
      <c r="AC70" s="35">
        <f t="shared" si="135"/>
        <v>748.24357340249207</v>
      </c>
      <c r="AD70" s="4">
        <f t="shared" si="136"/>
        <v>0.99789414429793777</v>
      </c>
      <c r="AE70" s="4">
        <f t="shared" si="137"/>
        <v>0</v>
      </c>
      <c r="AF70" s="4">
        <f t="shared" si="138"/>
        <v>1</v>
      </c>
      <c r="AG70" s="4">
        <f t="shared" si="139"/>
        <v>0</v>
      </c>
      <c r="AH70" s="4">
        <f t="shared" si="140"/>
        <v>1</v>
      </c>
      <c r="AI70" s="31">
        <f t="shared" si="141"/>
        <v>0.6657511095015799</v>
      </c>
      <c r="AJ70" s="30">
        <f t="shared" si="142"/>
        <v>3.3674346252980794</v>
      </c>
    </row>
    <row r="71" spans="1:36" x14ac:dyDescent="0.25">
      <c r="A71" t="s">
        <v>123</v>
      </c>
      <c r="B71">
        <v>127.3</v>
      </c>
      <c r="C71">
        <v>3</v>
      </c>
      <c r="D71">
        <v>345.2</v>
      </c>
      <c r="E71">
        <v>200</v>
      </c>
      <c r="F71">
        <v>40.299999999999997</v>
      </c>
      <c r="G71" s="7">
        <f t="shared" si="4"/>
        <v>35.286356706275697</v>
      </c>
      <c r="H71">
        <v>1000</v>
      </c>
      <c r="I71" s="7">
        <f t="shared" si="124"/>
        <v>7.855459544383347</v>
      </c>
      <c r="J71" s="31">
        <f t="shared" si="125"/>
        <v>0.36140192548121203</v>
      </c>
      <c r="K71" s="32">
        <f t="shared" si="126"/>
        <v>42.43333333333333</v>
      </c>
      <c r="L71" s="33">
        <f t="shared" si="127"/>
        <v>0.69257620173364853</v>
      </c>
      <c r="M71">
        <v>912.1</v>
      </c>
      <c r="N71" s="4">
        <f t="shared" si="128"/>
        <v>800</v>
      </c>
      <c r="O71" s="4">
        <f t="shared" si="129"/>
        <v>988</v>
      </c>
      <c r="P71" s="34">
        <f t="shared" si="130"/>
        <v>870.1128013035742</v>
      </c>
      <c r="Q71" s="35">
        <f t="shared" si="131"/>
        <v>883.21552100430154</v>
      </c>
      <c r="R71" s="35">
        <f t="shared" si="132"/>
        <v>850.25201438124725</v>
      </c>
      <c r="S71" s="30">
        <f t="shared" si="133"/>
        <v>1.0727407692926918</v>
      </c>
      <c r="T71" s="36">
        <f t="shared" si="134"/>
        <v>0.46476935525474061</v>
      </c>
      <c r="X71" s="4">
        <v>290</v>
      </c>
      <c r="Y71" s="37">
        <v>0</v>
      </c>
      <c r="Z71" s="4">
        <v>4</v>
      </c>
      <c r="AC71" s="35">
        <f t="shared" si="135"/>
        <v>870.11280130357432</v>
      </c>
      <c r="AD71" s="4">
        <f t="shared" si="136"/>
        <v>0.36066059160600483</v>
      </c>
      <c r="AE71" s="4">
        <f t="shared" si="137"/>
        <v>0.43907211502799903</v>
      </c>
      <c r="AF71" s="4">
        <f t="shared" si="138"/>
        <v>0.93033029580300242</v>
      </c>
      <c r="AG71" s="4">
        <f t="shared" si="139"/>
        <v>0.43907211502799903</v>
      </c>
      <c r="AH71" s="4">
        <f t="shared" si="140"/>
        <v>0.93033029580300242</v>
      </c>
      <c r="AI71" s="31">
        <f t="shared" si="141"/>
        <v>0.9626778449436989</v>
      </c>
      <c r="AJ71" s="30">
        <f t="shared" si="142"/>
        <v>0.43907211502799903</v>
      </c>
    </row>
    <row r="72" spans="1:36" x14ac:dyDescent="0.25">
      <c r="A72" t="s">
        <v>124</v>
      </c>
      <c r="B72">
        <v>127.3</v>
      </c>
      <c r="C72">
        <v>3</v>
      </c>
      <c r="D72">
        <v>345.2</v>
      </c>
      <c r="E72">
        <v>200</v>
      </c>
      <c r="F72">
        <v>40.299999999999997</v>
      </c>
      <c r="G72" s="7">
        <f t="shared" si="4"/>
        <v>35.286356706275697</v>
      </c>
      <c r="H72">
        <v>1500</v>
      </c>
      <c r="I72" s="7">
        <f t="shared" si="124"/>
        <v>11.783189316575021</v>
      </c>
      <c r="J72" s="31">
        <f t="shared" si="125"/>
        <v>0.54210288822181796</v>
      </c>
      <c r="K72" s="32">
        <f t="shared" si="126"/>
        <v>42.43333333333333</v>
      </c>
      <c r="L72" s="33">
        <f t="shared" si="127"/>
        <v>0.69257620173364853</v>
      </c>
      <c r="M72">
        <v>848.5</v>
      </c>
      <c r="N72" s="4">
        <f t="shared" si="128"/>
        <v>800</v>
      </c>
      <c r="O72" s="4">
        <f t="shared" si="129"/>
        <v>988</v>
      </c>
      <c r="P72" s="34">
        <f t="shared" si="130"/>
        <v>870.1128013035742</v>
      </c>
      <c r="Q72" s="35">
        <f t="shared" si="131"/>
        <v>870.11280130357432</v>
      </c>
      <c r="R72" s="35">
        <f t="shared" si="132"/>
        <v>792.38477031984519</v>
      </c>
      <c r="S72" s="30">
        <f t="shared" si="133"/>
        <v>1.0708181577713867</v>
      </c>
      <c r="T72" s="36">
        <f t="shared" si="134"/>
        <v>0.46476935525474061</v>
      </c>
      <c r="X72" s="4">
        <v>290</v>
      </c>
      <c r="Y72" s="37">
        <v>0</v>
      </c>
      <c r="Z72" s="4">
        <v>4</v>
      </c>
      <c r="AC72" s="35">
        <f t="shared" si="135"/>
        <v>870.11280130357432</v>
      </c>
      <c r="AD72" s="4">
        <f t="shared" si="136"/>
        <v>0.54099088740900736</v>
      </c>
      <c r="AE72" s="4">
        <f t="shared" si="137"/>
        <v>0</v>
      </c>
      <c r="AF72" s="4">
        <f t="shared" si="138"/>
        <v>1</v>
      </c>
      <c r="AG72" s="4">
        <f t="shared" si="139"/>
        <v>0</v>
      </c>
      <c r="AH72" s="4">
        <f t="shared" si="140"/>
        <v>1</v>
      </c>
      <c r="AI72" s="31">
        <f t="shared" si="141"/>
        <v>0.91066901800860811</v>
      </c>
      <c r="AJ72" s="30">
        <f t="shared" si="142"/>
        <v>0</v>
      </c>
    </row>
    <row r="73" spans="1:36" x14ac:dyDescent="0.25">
      <c r="A73" t="s">
        <v>125</v>
      </c>
      <c r="B73">
        <v>127.3</v>
      </c>
      <c r="C73">
        <v>3</v>
      </c>
      <c r="D73">
        <v>345.2</v>
      </c>
      <c r="E73">
        <v>200</v>
      </c>
      <c r="F73">
        <v>40.299999999999997</v>
      </c>
      <c r="G73" s="7">
        <f t="shared" si="4"/>
        <v>35.286356706275697</v>
      </c>
      <c r="H73">
        <v>2000</v>
      </c>
      <c r="I73" s="7">
        <f t="shared" si="124"/>
        <v>15.710919088766694</v>
      </c>
      <c r="J73" s="31">
        <f t="shared" si="125"/>
        <v>0.72280385096242405</v>
      </c>
      <c r="K73" s="32">
        <f t="shared" si="126"/>
        <v>42.43333333333333</v>
      </c>
      <c r="L73" s="33">
        <f t="shared" si="127"/>
        <v>0.69257620173364853</v>
      </c>
      <c r="M73">
        <v>715.8</v>
      </c>
      <c r="N73" s="4">
        <f t="shared" si="128"/>
        <v>800</v>
      </c>
      <c r="O73" s="4">
        <f t="shared" si="129"/>
        <v>988</v>
      </c>
      <c r="P73" s="34">
        <f t="shared" si="130"/>
        <v>870.1128013035742</v>
      </c>
      <c r="Q73" s="35">
        <f t="shared" si="131"/>
        <v>870.11280130357432</v>
      </c>
      <c r="R73" s="35">
        <f t="shared" si="132"/>
        <v>728.08808581023322</v>
      </c>
      <c r="S73" s="30">
        <f t="shared" si="133"/>
        <v>0.98312280333971014</v>
      </c>
      <c r="T73" s="36">
        <f t="shared" si="134"/>
        <v>0.46476935525474061</v>
      </c>
      <c r="X73" s="4">
        <v>290</v>
      </c>
      <c r="Y73" s="37">
        <v>0</v>
      </c>
      <c r="Z73" s="4">
        <v>4</v>
      </c>
      <c r="AC73" s="35">
        <f t="shared" si="135"/>
        <v>870.11280130357432</v>
      </c>
      <c r="AD73" s="4">
        <f t="shared" si="136"/>
        <v>0.72132118321200966</v>
      </c>
      <c r="AE73" s="4">
        <f t="shared" si="137"/>
        <v>0</v>
      </c>
      <c r="AF73" s="4">
        <f t="shared" si="138"/>
        <v>1</v>
      </c>
      <c r="AG73" s="4">
        <f t="shared" si="139"/>
        <v>0</v>
      </c>
      <c r="AH73" s="4">
        <f t="shared" si="140"/>
        <v>1</v>
      </c>
      <c r="AI73" s="31">
        <f t="shared" si="141"/>
        <v>0.83677436387493165</v>
      </c>
      <c r="AJ73" s="30">
        <f t="shared" si="142"/>
        <v>0.40073034953417341</v>
      </c>
    </row>
    <row r="74" spans="1:36" x14ac:dyDescent="0.25">
      <c r="A74" t="s">
        <v>126</v>
      </c>
      <c r="B74">
        <v>127.3</v>
      </c>
      <c r="C74">
        <v>3</v>
      </c>
      <c r="D74">
        <v>345.2</v>
      </c>
      <c r="E74">
        <v>200</v>
      </c>
      <c r="F74">
        <v>40.299999999999997</v>
      </c>
      <c r="G74" s="7">
        <f t="shared" si="4"/>
        <v>35.286356706275697</v>
      </c>
      <c r="H74">
        <v>2500</v>
      </c>
      <c r="I74" s="7">
        <f t="shared" si="124"/>
        <v>19.638648860958366</v>
      </c>
      <c r="J74" s="31">
        <f t="shared" si="125"/>
        <v>0.90350481370302993</v>
      </c>
      <c r="K74" s="32">
        <f t="shared" si="126"/>
        <v>42.43333333333333</v>
      </c>
      <c r="L74" s="33">
        <f t="shared" si="127"/>
        <v>0.69257620173364853</v>
      </c>
      <c r="M74">
        <v>638.79999999999995</v>
      </c>
      <c r="N74" s="4">
        <f t="shared" si="128"/>
        <v>800</v>
      </c>
      <c r="O74" s="4">
        <f t="shared" si="129"/>
        <v>988</v>
      </c>
      <c r="P74" s="34">
        <f t="shared" si="130"/>
        <v>870.1128013035742</v>
      </c>
      <c r="Q74" s="35">
        <f t="shared" si="131"/>
        <v>870.11280130357432</v>
      </c>
      <c r="R74" s="35">
        <f t="shared" si="132"/>
        <v>636.59982579002178</v>
      </c>
      <c r="S74" s="30">
        <f t="shared" si="133"/>
        <v>1.0034561338549657</v>
      </c>
      <c r="T74" s="36">
        <f t="shared" si="134"/>
        <v>0.46476935525474061</v>
      </c>
      <c r="X74" s="4">
        <v>290</v>
      </c>
      <c r="Y74" s="37">
        <v>0</v>
      </c>
      <c r="Z74" s="4">
        <v>4</v>
      </c>
      <c r="AC74" s="35">
        <f t="shared" si="135"/>
        <v>870.11280130357432</v>
      </c>
      <c r="AD74" s="4">
        <f t="shared" si="136"/>
        <v>0.90165147901501208</v>
      </c>
      <c r="AE74" s="4">
        <f t="shared" si="137"/>
        <v>0</v>
      </c>
      <c r="AF74" s="4">
        <f t="shared" si="138"/>
        <v>1</v>
      </c>
      <c r="AG74" s="4">
        <f t="shared" si="139"/>
        <v>0</v>
      </c>
      <c r="AH74" s="4">
        <f t="shared" si="140"/>
        <v>1</v>
      </c>
      <c r="AI74" s="31">
        <f t="shared" si="141"/>
        <v>0.73162907709930125</v>
      </c>
      <c r="AJ74" s="30">
        <f t="shared" si="142"/>
        <v>2.0400292615915738</v>
      </c>
    </row>
    <row r="75" spans="1:36" x14ac:dyDescent="0.25">
      <c r="A75" t="s">
        <v>127</v>
      </c>
      <c r="B75">
        <v>139.19999999999999</v>
      </c>
      <c r="C75">
        <v>3</v>
      </c>
      <c r="D75">
        <v>361.95</v>
      </c>
      <c r="E75">
        <v>200</v>
      </c>
      <c r="F75">
        <v>40.299999999999997</v>
      </c>
      <c r="G75" s="7">
        <f t="shared" si="4"/>
        <v>35.286356706275697</v>
      </c>
      <c r="H75">
        <v>1000</v>
      </c>
      <c r="I75" s="7">
        <f t="shared" si="124"/>
        <v>7.1839080459770122</v>
      </c>
      <c r="J75" s="31">
        <f t="shared" si="125"/>
        <v>0.33641474035142871</v>
      </c>
      <c r="K75" s="32">
        <f t="shared" si="126"/>
        <v>46.4</v>
      </c>
      <c r="L75" s="33">
        <f t="shared" si="127"/>
        <v>0.79406524822695035</v>
      </c>
      <c r="M75">
        <v>1059.8</v>
      </c>
      <c r="N75" s="4">
        <f t="shared" si="128"/>
        <v>942</v>
      </c>
      <c r="O75" s="4">
        <f t="shared" si="129"/>
        <v>1159</v>
      </c>
      <c r="P75" s="34">
        <f t="shared" si="130"/>
        <v>1026.1881649864811</v>
      </c>
      <c r="Q75" s="35">
        <f t="shared" si="131"/>
        <v>1053.8338716350986</v>
      </c>
      <c r="R75" s="35">
        <f t="shared" si="132"/>
        <v>1020.9837345513943</v>
      </c>
      <c r="S75" s="30">
        <f t="shared" si="133"/>
        <v>1.0380184954324085</v>
      </c>
      <c r="T75" s="36">
        <f t="shared" si="134"/>
        <v>0.4527618380369508</v>
      </c>
      <c r="X75" s="4">
        <v>290</v>
      </c>
      <c r="Y75" s="37">
        <v>0</v>
      </c>
      <c r="Z75" s="4">
        <v>4</v>
      </c>
      <c r="AC75" s="35">
        <f t="shared" si="135"/>
        <v>1026.1881649864811</v>
      </c>
      <c r="AD75" s="4">
        <f t="shared" si="136"/>
        <v>0.33567768759689903</v>
      </c>
      <c r="AE75" s="4">
        <f t="shared" si="137"/>
        <v>0.60551444861419124</v>
      </c>
      <c r="AF75" s="4">
        <f t="shared" si="138"/>
        <v>0.91783884379844949</v>
      </c>
      <c r="AG75" s="4">
        <f t="shared" si="139"/>
        <v>0.60551444861419124</v>
      </c>
      <c r="AH75" s="4">
        <f t="shared" si="140"/>
        <v>0.91783884379844949</v>
      </c>
      <c r="AI75" s="31">
        <f t="shared" si="141"/>
        <v>0.96882797377471364</v>
      </c>
      <c r="AJ75" s="30">
        <f t="shared" si="142"/>
        <v>0.60551444861419124</v>
      </c>
    </row>
    <row r="76" spans="1:36" x14ac:dyDescent="0.25">
      <c r="A76" t="s">
        <v>128</v>
      </c>
      <c r="B76">
        <v>139.19999999999999</v>
      </c>
      <c r="C76">
        <v>3</v>
      </c>
      <c r="D76">
        <v>361.95</v>
      </c>
      <c r="E76">
        <v>200</v>
      </c>
      <c r="F76">
        <v>40.299999999999997</v>
      </c>
      <c r="G76" s="7">
        <f t="shared" ref="G76:G107" si="143">22*((F76+8)/10)^0.3</f>
        <v>35.286356706275697</v>
      </c>
      <c r="H76">
        <v>1500</v>
      </c>
      <c r="I76" s="7">
        <f t="shared" si="124"/>
        <v>10.775862068965518</v>
      </c>
      <c r="J76" s="31">
        <f t="shared" si="125"/>
        <v>0.50462211052714312</v>
      </c>
      <c r="K76" s="32">
        <f t="shared" si="126"/>
        <v>46.4</v>
      </c>
      <c r="L76" s="33">
        <f t="shared" si="127"/>
        <v>0.79406524822695035</v>
      </c>
      <c r="M76">
        <v>941.9</v>
      </c>
      <c r="N76" s="4">
        <f t="shared" si="128"/>
        <v>942</v>
      </c>
      <c r="O76" s="4">
        <f t="shared" si="129"/>
        <v>1159</v>
      </c>
      <c r="P76" s="34">
        <f t="shared" si="130"/>
        <v>1026.1881649864811</v>
      </c>
      <c r="Q76" s="35">
        <f t="shared" si="131"/>
        <v>1026.1881649864811</v>
      </c>
      <c r="R76" s="35">
        <f t="shared" si="132"/>
        <v>946.99914635485425</v>
      </c>
      <c r="S76" s="30">
        <f t="shared" si="133"/>
        <v>0.99461546890038743</v>
      </c>
      <c r="T76" s="36">
        <f t="shared" si="134"/>
        <v>0.4527618380369508</v>
      </c>
      <c r="X76" s="4">
        <v>290</v>
      </c>
      <c r="Y76" s="37">
        <v>0</v>
      </c>
      <c r="Z76" s="4">
        <v>4</v>
      </c>
      <c r="AC76" s="35">
        <f t="shared" si="135"/>
        <v>1026.1881649864811</v>
      </c>
      <c r="AD76" s="4">
        <f t="shared" si="136"/>
        <v>0.50351653139534858</v>
      </c>
      <c r="AE76" s="4">
        <f t="shared" si="137"/>
        <v>0</v>
      </c>
      <c r="AF76" s="4">
        <f t="shared" si="138"/>
        <v>1</v>
      </c>
      <c r="AG76" s="4">
        <f t="shared" si="139"/>
        <v>0</v>
      </c>
      <c r="AH76" s="4">
        <f t="shared" si="140"/>
        <v>1</v>
      </c>
      <c r="AI76" s="31">
        <f t="shared" si="141"/>
        <v>0.92283187300969305</v>
      </c>
      <c r="AJ76" s="30">
        <f t="shared" si="142"/>
        <v>0</v>
      </c>
    </row>
    <row r="77" spans="1:36" x14ac:dyDescent="0.25">
      <c r="A77" t="s">
        <v>129</v>
      </c>
      <c r="B77">
        <v>139.19999999999999</v>
      </c>
      <c r="C77">
        <v>3</v>
      </c>
      <c r="D77">
        <v>361.95</v>
      </c>
      <c r="E77">
        <v>200</v>
      </c>
      <c r="F77">
        <v>40.299999999999997</v>
      </c>
      <c r="G77" s="7">
        <f t="shared" si="143"/>
        <v>35.286356706275697</v>
      </c>
      <c r="H77">
        <v>2000</v>
      </c>
      <c r="I77" s="7">
        <f t="shared" si="124"/>
        <v>14.367816091954024</v>
      </c>
      <c r="J77" s="31">
        <f t="shared" si="125"/>
        <v>0.67282948070285742</v>
      </c>
      <c r="K77" s="32">
        <f t="shared" si="126"/>
        <v>46.4</v>
      </c>
      <c r="L77" s="33">
        <f t="shared" si="127"/>
        <v>0.79406524822695035</v>
      </c>
      <c r="M77">
        <v>868.3</v>
      </c>
      <c r="N77" s="4">
        <f t="shared" si="128"/>
        <v>942</v>
      </c>
      <c r="O77" s="4">
        <f t="shared" si="129"/>
        <v>1159</v>
      </c>
      <c r="P77" s="34">
        <f t="shared" si="130"/>
        <v>1026.1881649864811</v>
      </c>
      <c r="Q77" s="35">
        <f t="shared" si="131"/>
        <v>1026.1881649864811</v>
      </c>
      <c r="R77" s="35">
        <f t="shared" si="132"/>
        <v>882.65714652247709</v>
      </c>
      <c r="S77" s="30">
        <f t="shared" si="133"/>
        <v>0.98373417517884276</v>
      </c>
      <c r="T77" s="36">
        <f t="shared" si="134"/>
        <v>0.4527618380369508</v>
      </c>
      <c r="X77" s="4">
        <v>290</v>
      </c>
      <c r="Y77" s="37">
        <v>0</v>
      </c>
      <c r="Z77" s="4">
        <v>4</v>
      </c>
      <c r="AC77" s="35">
        <f t="shared" si="135"/>
        <v>1026.1881649864811</v>
      </c>
      <c r="AD77" s="4">
        <f t="shared" si="136"/>
        <v>0.67135537519379807</v>
      </c>
      <c r="AE77" s="4">
        <f t="shared" si="137"/>
        <v>0</v>
      </c>
      <c r="AF77" s="4">
        <f t="shared" si="138"/>
        <v>1</v>
      </c>
      <c r="AG77" s="4">
        <f t="shared" si="139"/>
        <v>0</v>
      </c>
      <c r="AH77" s="4">
        <f t="shared" si="140"/>
        <v>1</v>
      </c>
      <c r="AI77" s="31">
        <f t="shared" si="141"/>
        <v>0.86013187117014267</v>
      </c>
      <c r="AJ77" s="30">
        <f t="shared" si="142"/>
        <v>0.14213223554202781</v>
      </c>
    </row>
    <row r="78" spans="1:36" x14ac:dyDescent="0.25">
      <c r="A78" t="s">
        <v>130</v>
      </c>
      <c r="B78">
        <v>139.19999999999999</v>
      </c>
      <c r="C78">
        <v>3</v>
      </c>
      <c r="D78">
        <v>361.95</v>
      </c>
      <c r="E78">
        <v>200</v>
      </c>
      <c r="F78">
        <v>40.299999999999997</v>
      </c>
      <c r="G78" s="7">
        <f t="shared" si="143"/>
        <v>35.286356706275697</v>
      </c>
      <c r="H78">
        <v>2500</v>
      </c>
      <c r="I78" s="7">
        <f t="shared" si="124"/>
        <v>17.959770114942529</v>
      </c>
      <c r="J78" s="31">
        <f t="shared" si="125"/>
        <v>0.84103685087857183</v>
      </c>
      <c r="K78" s="32">
        <f t="shared" si="126"/>
        <v>46.4</v>
      </c>
      <c r="L78" s="33">
        <f t="shared" si="127"/>
        <v>0.79406524822695035</v>
      </c>
      <c r="M78">
        <v>750.7</v>
      </c>
      <c r="N78" s="4">
        <f t="shared" si="128"/>
        <v>942</v>
      </c>
      <c r="O78" s="4">
        <f t="shared" si="129"/>
        <v>1159</v>
      </c>
      <c r="P78" s="34">
        <f t="shared" si="130"/>
        <v>1026.1881649864811</v>
      </c>
      <c r="Q78" s="35">
        <f t="shared" si="131"/>
        <v>1026.1881649864811</v>
      </c>
      <c r="R78" s="35">
        <f t="shared" si="132"/>
        <v>791.63104008072196</v>
      </c>
      <c r="S78" s="30">
        <f t="shared" si="133"/>
        <v>0.94829530676747065</v>
      </c>
      <c r="T78" s="36">
        <f t="shared" si="134"/>
        <v>0.4527618380369508</v>
      </c>
      <c r="X78" s="4">
        <v>290</v>
      </c>
      <c r="Y78" s="37">
        <v>0</v>
      </c>
      <c r="Z78" s="4">
        <v>4</v>
      </c>
      <c r="AC78" s="35">
        <f t="shared" si="135"/>
        <v>1026.1881649864811</v>
      </c>
      <c r="AD78" s="4">
        <f t="shared" si="136"/>
        <v>0.83919421899224755</v>
      </c>
      <c r="AE78" s="4">
        <f t="shared" si="137"/>
        <v>0</v>
      </c>
      <c r="AF78" s="4">
        <f t="shared" si="138"/>
        <v>1</v>
      </c>
      <c r="AG78" s="4">
        <f t="shared" si="139"/>
        <v>0</v>
      </c>
      <c r="AH78" s="4">
        <f t="shared" si="140"/>
        <v>1</v>
      </c>
      <c r="AI78" s="31">
        <f t="shared" si="141"/>
        <v>0.77142873703981063</v>
      </c>
      <c r="AJ78" s="30">
        <f t="shared" si="142"/>
        <v>1.3471048808735624</v>
      </c>
    </row>
    <row r="79" spans="1:36" x14ac:dyDescent="0.25">
      <c r="A79" t="s">
        <v>131</v>
      </c>
      <c r="B79">
        <v>152.4</v>
      </c>
      <c r="C79">
        <v>3</v>
      </c>
      <c r="D79">
        <v>488.2</v>
      </c>
      <c r="E79">
        <v>200</v>
      </c>
      <c r="F79">
        <v>30.9</v>
      </c>
      <c r="G79" s="7">
        <f t="shared" si="143"/>
        <v>33.0679719999141</v>
      </c>
      <c r="H79">
        <v>1000</v>
      </c>
      <c r="I79" s="7">
        <f t="shared" si="124"/>
        <v>6.5616797900262469</v>
      </c>
      <c r="J79" s="31">
        <f t="shared" si="125"/>
        <v>0.31566335701588971</v>
      </c>
      <c r="K79" s="32">
        <f t="shared" si="126"/>
        <v>50.800000000000004</v>
      </c>
      <c r="L79" s="33">
        <f t="shared" si="127"/>
        <v>1.1726033096926716</v>
      </c>
      <c r="M79">
        <v>1463.3</v>
      </c>
      <c r="N79" s="4">
        <f t="shared" si="128"/>
        <v>1130</v>
      </c>
      <c r="O79" s="4">
        <f t="shared" si="129"/>
        <v>1453</v>
      </c>
      <c r="P79" s="34">
        <f t="shared" si="130"/>
        <v>1207.5680733901559</v>
      </c>
      <c r="Q79" s="35">
        <f t="shared" si="131"/>
        <v>1266.8609503641037</v>
      </c>
      <c r="R79" s="35">
        <f t="shared" si="132"/>
        <v>1233.6757577004703</v>
      </c>
      <c r="S79" s="30">
        <f t="shared" si="133"/>
        <v>1.1861301406518203</v>
      </c>
      <c r="T79" s="36">
        <f t="shared" si="134"/>
        <v>0.56925634194435548</v>
      </c>
      <c r="X79" s="4">
        <v>290</v>
      </c>
      <c r="Y79" s="37">
        <v>0</v>
      </c>
      <c r="Z79" s="4">
        <v>4</v>
      </c>
      <c r="AC79" s="35">
        <f t="shared" si="135"/>
        <v>1207.5680733901559</v>
      </c>
      <c r="AD79" s="4">
        <f t="shared" si="136"/>
        <v>0.31495577550934944</v>
      </c>
      <c r="AE79" s="4">
        <f t="shared" si="137"/>
        <v>0.75966954203086323</v>
      </c>
      <c r="AF79" s="4">
        <f t="shared" si="138"/>
        <v>0.90747788775467475</v>
      </c>
      <c r="AG79" s="4">
        <f t="shared" si="139"/>
        <v>0.75966954203086323</v>
      </c>
      <c r="AH79" s="4">
        <f t="shared" si="140"/>
        <v>0.90747788775467475</v>
      </c>
      <c r="AI79" s="31">
        <f t="shared" si="141"/>
        <v>0.97380518149675721</v>
      </c>
      <c r="AJ79" s="30">
        <f t="shared" si="142"/>
        <v>0.75966954203086323</v>
      </c>
    </row>
    <row r="80" spans="1:36" x14ac:dyDescent="0.25">
      <c r="A80" t="s">
        <v>132</v>
      </c>
      <c r="B80">
        <v>152.4</v>
      </c>
      <c r="C80">
        <v>3</v>
      </c>
      <c r="D80">
        <v>488.2</v>
      </c>
      <c r="E80">
        <v>200</v>
      </c>
      <c r="F80">
        <v>30.9</v>
      </c>
      <c r="G80" s="7">
        <f t="shared" si="143"/>
        <v>33.0679719999141</v>
      </c>
      <c r="H80">
        <v>1500</v>
      </c>
      <c r="I80" s="7">
        <f t="shared" si="124"/>
        <v>9.8425196850393704</v>
      </c>
      <c r="J80" s="31">
        <f t="shared" si="125"/>
        <v>0.47349503552383454</v>
      </c>
      <c r="K80" s="32">
        <f t="shared" si="126"/>
        <v>50.800000000000004</v>
      </c>
      <c r="L80" s="33">
        <f t="shared" si="127"/>
        <v>1.1726033096926716</v>
      </c>
      <c r="M80">
        <v>1209.0999999999999</v>
      </c>
      <c r="N80" s="4">
        <f t="shared" si="128"/>
        <v>1130</v>
      </c>
      <c r="O80" s="4">
        <f t="shared" si="129"/>
        <v>1453</v>
      </c>
      <c r="P80" s="34">
        <f t="shared" si="130"/>
        <v>1207.5680733901559</v>
      </c>
      <c r="Q80" s="35">
        <f t="shared" si="131"/>
        <v>1198.0933058989986</v>
      </c>
      <c r="R80" s="35">
        <f t="shared" si="132"/>
        <v>1116.9875358318961</v>
      </c>
      <c r="S80" s="30">
        <f t="shared" si="133"/>
        <v>1.0824650779110989</v>
      </c>
      <c r="T80" s="36">
        <f t="shared" si="134"/>
        <v>0.56925634194435548</v>
      </c>
      <c r="X80" s="4">
        <v>290</v>
      </c>
      <c r="Y80" s="37">
        <v>0</v>
      </c>
      <c r="Z80" s="4">
        <v>4</v>
      </c>
      <c r="AC80" s="35">
        <f t="shared" si="135"/>
        <v>1207.5680733901559</v>
      </c>
      <c r="AD80" s="4">
        <f t="shared" si="136"/>
        <v>0.4724336632640242</v>
      </c>
      <c r="AE80" s="4">
        <f t="shared" si="137"/>
        <v>0</v>
      </c>
      <c r="AF80" s="4">
        <f t="shared" si="138"/>
        <v>0.98621683163201213</v>
      </c>
      <c r="AG80" s="4">
        <f t="shared" si="139"/>
        <v>0</v>
      </c>
      <c r="AH80" s="4">
        <f t="shared" si="140"/>
        <v>0.98621683163201213</v>
      </c>
      <c r="AI80" s="31">
        <f t="shared" si="141"/>
        <v>0.93230429577749452</v>
      </c>
      <c r="AJ80" s="30">
        <f t="shared" si="142"/>
        <v>0</v>
      </c>
    </row>
    <row r="81" spans="1:36" x14ac:dyDescent="0.25">
      <c r="A81" t="s">
        <v>133</v>
      </c>
      <c r="B81">
        <v>152.4</v>
      </c>
      <c r="C81">
        <v>3</v>
      </c>
      <c r="D81">
        <v>488.2</v>
      </c>
      <c r="E81">
        <v>200</v>
      </c>
      <c r="F81">
        <v>30.9</v>
      </c>
      <c r="G81" s="7">
        <f t="shared" si="143"/>
        <v>33.0679719999141</v>
      </c>
      <c r="H81">
        <v>2000</v>
      </c>
      <c r="I81" s="7">
        <f t="shared" si="124"/>
        <v>13.123359580052494</v>
      </c>
      <c r="J81" s="31">
        <f t="shared" si="125"/>
        <v>0.63132671403177942</v>
      </c>
      <c r="K81" s="32">
        <f t="shared" si="126"/>
        <v>50.800000000000004</v>
      </c>
      <c r="L81" s="33">
        <f t="shared" si="127"/>
        <v>1.1726033096926716</v>
      </c>
      <c r="M81">
        <v>1167.3</v>
      </c>
      <c r="N81" s="4">
        <f t="shared" si="128"/>
        <v>1130</v>
      </c>
      <c r="O81" s="4">
        <f t="shared" si="129"/>
        <v>1453</v>
      </c>
      <c r="P81" s="34">
        <f t="shared" si="130"/>
        <v>1207.5680733901559</v>
      </c>
      <c r="Q81" s="35">
        <f t="shared" si="131"/>
        <v>1207.5680733901559</v>
      </c>
      <c r="R81" s="35">
        <f t="shared" si="132"/>
        <v>1059.9057519199214</v>
      </c>
      <c r="S81" s="30">
        <f t="shared" si="133"/>
        <v>1.101324337456933</v>
      </c>
      <c r="T81" s="36">
        <f t="shared" si="134"/>
        <v>0.56925634194435548</v>
      </c>
      <c r="X81" s="4">
        <v>290</v>
      </c>
      <c r="Y81" s="37">
        <v>0</v>
      </c>
      <c r="Z81" s="4">
        <v>4</v>
      </c>
      <c r="AC81" s="35">
        <f t="shared" si="135"/>
        <v>1207.5680733901559</v>
      </c>
      <c r="AD81" s="4">
        <f t="shared" si="136"/>
        <v>0.62991155101869889</v>
      </c>
      <c r="AE81" s="4">
        <f t="shared" si="137"/>
        <v>0</v>
      </c>
      <c r="AF81" s="4">
        <f t="shared" si="138"/>
        <v>1</v>
      </c>
      <c r="AG81" s="4">
        <f t="shared" si="139"/>
        <v>0</v>
      </c>
      <c r="AH81" s="4">
        <f t="shared" si="140"/>
        <v>1</v>
      </c>
      <c r="AI81" s="31">
        <f t="shared" si="141"/>
        <v>0.87771925680704388</v>
      </c>
      <c r="AJ81" s="30">
        <f t="shared" si="142"/>
        <v>0</v>
      </c>
    </row>
    <row r="82" spans="1:36" x14ac:dyDescent="0.25">
      <c r="A82" t="s">
        <v>134</v>
      </c>
      <c r="B82">
        <v>152.4</v>
      </c>
      <c r="C82">
        <v>3</v>
      </c>
      <c r="D82">
        <v>394.3</v>
      </c>
      <c r="E82">
        <v>200</v>
      </c>
      <c r="F82">
        <v>30.9</v>
      </c>
      <c r="G82" s="7">
        <f t="shared" si="143"/>
        <v>33.0679719999141</v>
      </c>
      <c r="H82">
        <v>2500</v>
      </c>
      <c r="I82" s="7">
        <f t="shared" si="124"/>
        <v>16.404199475065617</v>
      </c>
      <c r="J82" s="31">
        <f t="shared" si="125"/>
        <v>0.74470368645921148</v>
      </c>
      <c r="K82" s="32">
        <f t="shared" si="126"/>
        <v>50.800000000000004</v>
      </c>
      <c r="L82" s="33">
        <f t="shared" si="127"/>
        <v>0.94706572104018916</v>
      </c>
      <c r="M82">
        <v>968.9</v>
      </c>
      <c r="N82" s="4">
        <f t="shared" si="128"/>
        <v>997</v>
      </c>
      <c r="O82" s="4">
        <f t="shared" si="129"/>
        <v>1258</v>
      </c>
      <c r="P82" s="34">
        <f t="shared" si="130"/>
        <v>1075.3510678030291</v>
      </c>
      <c r="Q82" s="35">
        <f t="shared" si="131"/>
        <v>1075.3510678030291</v>
      </c>
      <c r="R82" s="35">
        <f t="shared" si="132"/>
        <v>887.96680685215313</v>
      </c>
      <c r="S82" s="30">
        <f t="shared" si="133"/>
        <v>1.0911443902219222</v>
      </c>
      <c r="T82" s="36">
        <f t="shared" si="134"/>
        <v>0.51629537101221479</v>
      </c>
      <c r="X82" s="4">
        <v>290</v>
      </c>
      <c r="Y82" s="37">
        <v>0</v>
      </c>
      <c r="Z82" s="4">
        <v>4</v>
      </c>
      <c r="AC82" s="35">
        <f t="shared" si="135"/>
        <v>1075.3510678030291</v>
      </c>
      <c r="AD82" s="4">
        <f t="shared" si="136"/>
        <v>0.74303438102771546</v>
      </c>
      <c r="AE82" s="4">
        <f t="shared" si="137"/>
        <v>0</v>
      </c>
      <c r="AF82" s="4">
        <f t="shared" si="138"/>
        <v>1</v>
      </c>
      <c r="AG82" s="4">
        <f t="shared" si="139"/>
        <v>0</v>
      </c>
      <c r="AH82" s="4">
        <f t="shared" si="140"/>
        <v>1</v>
      </c>
      <c r="AI82" s="31">
        <f t="shared" si="141"/>
        <v>0.82574596653936749</v>
      </c>
      <c r="AJ82" s="30">
        <f t="shared" si="142"/>
        <v>0.53956550460434727</v>
      </c>
    </row>
    <row r="83" spans="1:36" x14ac:dyDescent="0.25">
      <c r="A83" t="s">
        <v>135</v>
      </c>
      <c r="B83">
        <v>165.1</v>
      </c>
      <c r="C83">
        <v>3</v>
      </c>
      <c r="D83">
        <v>438.2</v>
      </c>
      <c r="E83">
        <v>200</v>
      </c>
      <c r="F83">
        <v>30.9</v>
      </c>
      <c r="G83" s="7">
        <f t="shared" si="143"/>
        <v>33.0679719999141</v>
      </c>
      <c r="H83">
        <v>1000</v>
      </c>
      <c r="I83" s="7">
        <f t="shared" si="124"/>
        <v>6.0569351907934585</v>
      </c>
      <c r="J83" s="31">
        <f t="shared" si="125"/>
        <v>0.28333501102719455</v>
      </c>
      <c r="K83" s="32">
        <f t="shared" si="126"/>
        <v>55.033333333333331</v>
      </c>
      <c r="L83" s="33">
        <f t="shared" si="127"/>
        <v>1.1402178092986603</v>
      </c>
      <c r="M83">
        <v>1549.5</v>
      </c>
      <c r="N83" s="4">
        <f t="shared" si="128"/>
        <v>1192</v>
      </c>
      <c r="O83" s="4">
        <f t="shared" si="129"/>
        <v>1508</v>
      </c>
      <c r="P83" s="34">
        <f t="shared" si="130"/>
        <v>1283.7745071293646</v>
      </c>
      <c r="Q83" s="35">
        <f t="shared" si="131"/>
        <v>1373.9143565874688</v>
      </c>
      <c r="R83" s="35">
        <f t="shared" si="132"/>
        <v>1348.3007228823133</v>
      </c>
      <c r="S83" s="30">
        <f t="shared" si="133"/>
        <v>1.1492243337877737</v>
      </c>
      <c r="T83" s="36">
        <f t="shared" si="134"/>
        <v>0.52148013365485901</v>
      </c>
      <c r="X83" s="4">
        <v>290</v>
      </c>
      <c r="Y83" s="37">
        <v>0</v>
      </c>
      <c r="Z83" s="4">
        <v>4</v>
      </c>
      <c r="AC83" s="35">
        <f t="shared" si="135"/>
        <v>1283.7745071293646</v>
      </c>
      <c r="AD83" s="4">
        <f t="shared" si="136"/>
        <v>0.28266379741622433</v>
      </c>
      <c r="AE83" s="4">
        <f t="shared" si="137"/>
        <v>1.0289997280857757</v>
      </c>
      <c r="AF83" s="4">
        <f t="shared" si="138"/>
        <v>0.89133189870811214</v>
      </c>
      <c r="AG83" s="4">
        <f t="shared" si="139"/>
        <v>1.0289997280857757</v>
      </c>
      <c r="AH83" s="4">
        <f t="shared" si="140"/>
        <v>0.89133189870811214</v>
      </c>
      <c r="AI83" s="31">
        <f t="shared" si="141"/>
        <v>0.98135718315894549</v>
      </c>
      <c r="AJ83" s="30">
        <f t="shared" si="142"/>
        <v>1.0289997280857757</v>
      </c>
    </row>
    <row r="84" spans="1:36" x14ac:dyDescent="0.25">
      <c r="A84" t="s">
        <v>136</v>
      </c>
      <c r="B84">
        <v>165.1</v>
      </c>
      <c r="C84">
        <v>3</v>
      </c>
      <c r="D84">
        <v>438.2</v>
      </c>
      <c r="E84">
        <v>200</v>
      </c>
      <c r="F84">
        <v>30.9</v>
      </c>
      <c r="G84" s="7">
        <f t="shared" si="143"/>
        <v>33.0679719999141</v>
      </c>
      <c r="H84">
        <v>1500</v>
      </c>
      <c r="I84" s="7">
        <f t="shared" si="124"/>
        <v>9.0854027861901887</v>
      </c>
      <c r="J84" s="31">
        <f t="shared" si="125"/>
        <v>0.42500251654079174</v>
      </c>
      <c r="K84" s="32">
        <f t="shared" si="126"/>
        <v>55.033333333333331</v>
      </c>
      <c r="L84" s="33">
        <f t="shared" si="127"/>
        <v>1.1402178092986603</v>
      </c>
      <c r="M84">
        <v>1338</v>
      </c>
      <c r="N84" s="4">
        <f t="shared" si="128"/>
        <v>1192</v>
      </c>
      <c r="O84" s="4">
        <f t="shared" si="129"/>
        <v>1508</v>
      </c>
      <c r="P84" s="34">
        <f t="shared" si="130"/>
        <v>1283.7745071293646</v>
      </c>
      <c r="Q84" s="35">
        <f t="shared" si="131"/>
        <v>1276.096083832055</v>
      </c>
      <c r="R84" s="35">
        <f t="shared" si="132"/>
        <v>1207.2932370577196</v>
      </c>
      <c r="S84" s="30">
        <f t="shared" si="133"/>
        <v>1.1082643047523602</v>
      </c>
      <c r="T84" s="36">
        <f t="shared" si="134"/>
        <v>0.52148013365485901</v>
      </c>
      <c r="X84" s="4">
        <v>290</v>
      </c>
      <c r="Y84" s="37">
        <v>0</v>
      </c>
      <c r="Z84" s="4">
        <v>4</v>
      </c>
      <c r="AC84" s="35">
        <f t="shared" si="135"/>
        <v>1283.7745071293646</v>
      </c>
      <c r="AD84" s="4">
        <f t="shared" si="136"/>
        <v>0.42399569612433646</v>
      </c>
      <c r="AE84" s="4">
        <f t="shared" si="137"/>
        <v>0.1122095773431071</v>
      </c>
      <c r="AF84" s="4">
        <f t="shared" si="138"/>
        <v>0.96199784806216826</v>
      </c>
      <c r="AG84" s="4">
        <f t="shared" si="139"/>
        <v>0.1122095773431071</v>
      </c>
      <c r="AH84" s="4">
        <f t="shared" si="140"/>
        <v>0.96199784806216826</v>
      </c>
      <c r="AI84" s="31">
        <f t="shared" si="141"/>
        <v>0.9460833336564094</v>
      </c>
      <c r="AJ84" s="30">
        <f t="shared" si="142"/>
        <v>0.1122095773431071</v>
      </c>
    </row>
    <row r="85" spans="1:36" x14ac:dyDescent="0.25">
      <c r="A85" t="s">
        <v>137</v>
      </c>
      <c r="B85">
        <v>165.1</v>
      </c>
      <c r="C85">
        <v>3</v>
      </c>
      <c r="D85">
        <v>438.2</v>
      </c>
      <c r="E85">
        <v>200</v>
      </c>
      <c r="F85">
        <v>30.9</v>
      </c>
      <c r="G85" s="7">
        <f t="shared" si="143"/>
        <v>33.0679719999141</v>
      </c>
      <c r="H85">
        <v>2000</v>
      </c>
      <c r="I85" s="7">
        <f t="shared" si="124"/>
        <v>12.113870381586917</v>
      </c>
      <c r="J85" s="31">
        <f t="shared" si="125"/>
        <v>0.5666700220543891</v>
      </c>
      <c r="K85" s="32">
        <f t="shared" si="126"/>
        <v>55.033333333333331</v>
      </c>
      <c r="L85" s="33">
        <f t="shared" si="127"/>
        <v>1.1402178092986603</v>
      </c>
      <c r="M85">
        <v>1234.5</v>
      </c>
      <c r="N85" s="4">
        <f t="shared" si="128"/>
        <v>1192</v>
      </c>
      <c r="O85" s="4">
        <f t="shared" si="129"/>
        <v>1508</v>
      </c>
      <c r="P85" s="34">
        <f t="shared" si="130"/>
        <v>1283.7745071293646</v>
      </c>
      <c r="Q85" s="35">
        <f t="shared" si="131"/>
        <v>1283.7745071293646</v>
      </c>
      <c r="R85" s="35">
        <f t="shared" si="132"/>
        <v>1158.2156188063409</v>
      </c>
      <c r="S85" s="30">
        <f t="shared" si="133"/>
        <v>1.0658637130729405</v>
      </c>
      <c r="T85" s="36">
        <f t="shared" si="134"/>
        <v>0.52148013365485901</v>
      </c>
      <c r="X85" s="4">
        <v>290</v>
      </c>
      <c r="Y85" s="37">
        <v>0</v>
      </c>
      <c r="Z85" s="4">
        <v>4</v>
      </c>
      <c r="AC85" s="35">
        <f t="shared" si="135"/>
        <v>1283.7745071293646</v>
      </c>
      <c r="AD85" s="4">
        <f t="shared" si="136"/>
        <v>0.56532759483244865</v>
      </c>
      <c r="AE85" s="4">
        <f t="shared" si="137"/>
        <v>0</v>
      </c>
      <c r="AF85" s="4">
        <f t="shared" si="138"/>
        <v>1</v>
      </c>
      <c r="AG85" s="4">
        <f t="shared" si="139"/>
        <v>0</v>
      </c>
      <c r="AH85" s="4">
        <f t="shared" si="140"/>
        <v>1</v>
      </c>
      <c r="AI85" s="31">
        <f t="shared" si="141"/>
        <v>0.90219552762129185</v>
      </c>
      <c r="AJ85" s="30">
        <f t="shared" si="142"/>
        <v>0</v>
      </c>
    </row>
    <row r="86" spans="1:36" x14ac:dyDescent="0.25">
      <c r="A86" t="s">
        <v>138</v>
      </c>
      <c r="B86">
        <v>165.1</v>
      </c>
      <c r="C86">
        <v>3</v>
      </c>
      <c r="D86">
        <v>430.3</v>
      </c>
      <c r="E86">
        <v>200</v>
      </c>
      <c r="F86">
        <v>30.9</v>
      </c>
      <c r="G86" s="7">
        <f t="shared" si="143"/>
        <v>33.0679719999141</v>
      </c>
      <c r="H86">
        <v>2500</v>
      </c>
      <c r="I86" s="7">
        <f t="shared" si="124"/>
        <v>15.142337976983647</v>
      </c>
      <c r="J86" s="31">
        <f t="shared" si="125"/>
        <v>0.70499998277308285</v>
      </c>
      <c r="K86" s="32">
        <f t="shared" si="126"/>
        <v>55.033333333333331</v>
      </c>
      <c r="L86" s="33">
        <f t="shared" si="127"/>
        <v>1.119661623325453</v>
      </c>
      <c r="M86">
        <v>1232</v>
      </c>
      <c r="N86" s="4">
        <f t="shared" si="128"/>
        <v>1180</v>
      </c>
      <c r="O86" s="4">
        <f t="shared" si="129"/>
        <v>1490</v>
      </c>
      <c r="P86" s="34">
        <f t="shared" si="130"/>
        <v>1271.7052307205831</v>
      </c>
      <c r="Q86" s="35">
        <f t="shared" si="131"/>
        <v>1271.7052307205831</v>
      </c>
      <c r="R86" s="35">
        <f t="shared" si="132"/>
        <v>1075.0741672524712</v>
      </c>
      <c r="S86" s="30">
        <f t="shared" si="133"/>
        <v>1.1459674481329774</v>
      </c>
      <c r="T86" s="36">
        <f t="shared" si="134"/>
        <v>0.51693868144211597</v>
      </c>
      <c r="X86" s="4">
        <v>290</v>
      </c>
      <c r="Y86" s="37">
        <v>0</v>
      </c>
      <c r="Z86" s="4">
        <v>4</v>
      </c>
      <c r="AC86" s="35">
        <f t="shared" si="135"/>
        <v>1271.7052307205831</v>
      </c>
      <c r="AD86" s="4">
        <f t="shared" si="136"/>
        <v>0.70332985530646475</v>
      </c>
      <c r="AE86" s="4">
        <f t="shared" si="137"/>
        <v>0</v>
      </c>
      <c r="AF86" s="4">
        <f t="shared" si="138"/>
        <v>1</v>
      </c>
      <c r="AG86" s="4">
        <f t="shared" si="139"/>
        <v>0</v>
      </c>
      <c r="AH86" s="4">
        <f t="shared" si="140"/>
        <v>1</v>
      </c>
      <c r="AI86" s="31">
        <f t="shared" si="141"/>
        <v>0.84537999945420106</v>
      </c>
      <c r="AJ86" s="30">
        <f t="shared" si="142"/>
        <v>0.29783672804241768</v>
      </c>
    </row>
    <row r="87" spans="1:36" x14ac:dyDescent="0.25">
      <c r="A87" t="s">
        <v>139</v>
      </c>
      <c r="B87">
        <v>193.7</v>
      </c>
      <c r="C87">
        <v>3</v>
      </c>
      <c r="D87">
        <v>398.8</v>
      </c>
      <c r="E87">
        <v>200</v>
      </c>
      <c r="F87">
        <v>30.9</v>
      </c>
      <c r="G87" s="7">
        <f t="shared" si="143"/>
        <v>33.0679719999141</v>
      </c>
      <c r="H87">
        <v>1000</v>
      </c>
      <c r="I87" s="7">
        <f t="shared" si="124"/>
        <v>5.1626226122870422</v>
      </c>
      <c r="J87" s="31">
        <f t="shared" si="125"/>
        <v>0.23728801087028797</v>
      </c>
      <c r="K87" s="32">
        <f t="shared" si="126"/>
        <v>64.566666666666663</v>
      </c>
      <c r="L87" s="33">
        <f t="shared" si="127"/>
        <v>1.2174556343577621</v>
      </c>
      <c r="M87">
        <v>1999.6</v>
      </c>
      <c r="N87" s="4">
        <f t="shared" si="128"/>
        <v>1444</v>
      </c>
      <c r="O87" s="4">
        <f t="shared" si="129"/>
        <v>1785</v>
      </c>
      <c r="P87" s="34">
        <f t="shared" si="130"/>
        <v>1571.7865418767433</v>
      </c>
      <c r="Q87" s="35">
        <f t="shared" si="131"/>
        <v>1729.3109726114562</v>
      </c>
      <c r="R87" s="35">
        <f t="shared" si="132"/>
        <v>1715.0866980695428</v>
      </c>
      <c r="S87" s="30">
        <f t="shared" si="133"/>
        <v>1.1658885829216086</v>
      </c>
      <c r="T87" s="36">
        <f t="shared" si="134"/>
        <v>0.45601948964591221</v>
      </c>
      <c r="X87" s="4">
        <v>290</v>
      </c>
      <c r="Y87" s="37">
        <v>0</v>
      </c>
      <c r="Z87" s="4">
        <v>4</v>
      </c>
      <c r="AC87" s="35">
        <f t="shared" si="135"/>
        <v>1571.7865418767433</v>
      </c>
      <c r="AD87" s="4">
        <f t="shared" si="136"/>
        <v>0.23666443431329878</v>
      </c>
      <c r="AE87" s="4">
        <f t="shared" si="137"/>
        <v>1.4738788911741461</v>
      </c>
      <c r="AF87" s="4">
        <f t="shared" si="138"/>
        <v>0.86833221715664943</v>
      </c>
      <c r="AG87" s="4">
        <f t="shared" si="139"/>
        <v>1.4738788911741461</v>
      </c>
      <c r="AH87" s="4">
        <f t="shared" si="140"/>
        <v>0.86833221715664943</v>
      </c>
      <c r="AI87" s="31">
        <f t="shared" si="141"/>
        <v>0.99177459996079642</v>
      </c>
      <c r="AJ87" s="30">
        <f t="shared" si="142"/>
        <v>1.4738788911741461</v>
      </c>
    </row>
    <row r="88" spans="1:36" x14ac:dyDescent="0.25">
      <c r="A88" t="s">
        <v>140</v>
      </c>
      <c r="B88">
        <v>193.7</v>
      </c>
      <c r="C88">
        <v>3.5</v>
      </c>
      <c r="D88">
        <v>398.8</v>
      </c>
      <c r="E88">
        <v>200</v>
      </c>
      <c r="F88">
        <v>30.9</v>
      </c>
      <c r="G88" s="7">
        <f t="shared" si="143"/>
        <v>33.0679719999141</v>
      </c>
      <c r="H88">
        <v>1500</v>
      </c>
      <c r="I88" s="7">
        <f t="shared" si="124"/>
        <v>7.7439339184305629</v>
      </c>
      <c r="J88" s="31">
        <f t="shared" si="125"/>
        <v>0.3537328034827853</v>
      </c>
      <c r="K88" s="32">
        <f t="shared" si="126"/>
        <v>55.342857142857142</v>
      </c>
      <c r="L88" s="33">
        <f t="shared" si="127"/>
        <v>1.0435334008780819</v>
      </c>
      <c r="M88">
        <v>1817.1</v>
      </c>
      <c r="N88" s="4">
        <f t="shared" si="128"/>
        <v>1553</v>
      </c>
      <c r="O88" s="4">
        <f t="shared" si="129"/>
        <v>1947</v>
      </c>
      <c r="P88" s="34">
        <f t="shared" si="130"/>
        <v>1679.9686672038761</v>
      </c>
      <c r="Q88" s="35">
        <f t="shared" si="131"/>
        <v>1715.0021617840202</v>
      </c>
      <c r="R88" s="35">
        <f t="shared" si="132"/>
        <v>1654.2653847342704</v>
      </c>
      <c r="S88" s="30">
        <f t="shared" si="133"/>
        <v>1.0984331877873914</v>
      </c>
      <c r="T88" s="36">
        <f t="shared" si="134"/>
        <v>0.49645786746169157</v>
      </c>
      <c r="X88" s="4">
        <v>290</v>
      </c>
      <c r="Y88" s="37">
        <v>0</v>
      </c>
      <c r="Z88" s="4">
        <v>4</v>
      </c>
      <c r="AC88" s="35">
        <f t="shared" si="135"/>
        <v>1679.9686672038761</v>
      </c>
      <c r="AD88" s="4">
        <f t="shared" si="136"/>
        <v>0.35289163738693874</v>
      </c>
      <c r="AE88" s="4">
        <f t="shared" si="137"/>
        <v>0.48855733988142314</v>
      </c>
      <c r="AF88" s="4">
        <f t="shared" si="138"/>
        <v>0.92644581869346943</v>
      </c>
      <c r="AG88" s="4">
        <f t="shared" si="139"/>
        <v>0.48855733988142314</v>
      </c>
      <c r="AH88" s="4">
        <f t="shared" si="140"/>
        <v>0.92644581869346943</v>
      </c>
      <c r="AI88" s="31">
        <f t="shared" si="141"/>
        <v>0.96458501429142873</v>
      </c>
      <c r="AJ88" s="30">
        <f t="shared" si="142"/>
        <v>0.48855733988142314</v>
      </c>
    </row>
    <row r="89" spans="1:36" x14ac:dyDescent="0.25">
      <c r="A89" t="s">
        <v>141</v>
      </c>
      <c r="B89">
        <v>193.7</v>
      </c>
      <c r="C89">
        <v>3.5</v>
      </c>
      <c r="D89">
        <v>398.8</v>
      </c>
      <c r="E89">
        <v>200</v>
      </c>
      <c r="F89">
        <v>30.9</v>
      </c>
      <c r="G89" s="7">
        <f t="shared" si="143"/>
        <v>33.0679719999141</v>
      </c>
      <c r="H89">
        <v>2000</v>
      </c>
      <c r="I89" s="7">
        <f t="shared" si="124"/>
        <v>10.325245224574084</v>
      </c>
      <c r="J89" s="31">
        <f t="shared" si="125"/>
        <v>0.47164373797704695</v>
      </c>
      <c r="K89" s="32">
        <f t="shared" si="126"/>
        <v>55.342857142857142</v>
      </c>
      <c r="L89" s="33">
        <f t="shared" si="127"/>
        <v>1.0435334008780819</v>
      </c>
      <c r="M89">
        <v>1796.3</v>
      </c>
      <c r="N89" s="4">
        <f t="shared" si="128"/>
        <v>1553</v>
      </c>
      <c r="O89" s="4">
        <f t="shared" si="129"/>
        <v>1947</v>
      </c>
      <c r="P89" s="34">
        <f t="shared" si="130"/>
        <v>1679.9686672038761</v>
      </c>
      <c r="Q89" s="35">
        <f t="shared" si="131"/>
        <v>1667.6759214510212</v>
      </c>
      <c r="R89" s="35">
        <f t="shared" si="132"/>
        <v>1555.6935529517375</v>
      </c>
      <c r="S89" s="30">
        <f t="shared" si="133"/>
        <v>1.1546618526455557</v>
      </c>
      <c r="T89" s="36">
        <f t="shared" si="134"/>
        <v>0.49645786746169157</v>
      </c>
      <c r="X89" s="4">
        <v>290</v>
      </c>
      <c r="Y89" s="37">
        <v>0</v>
      </c>
      <c r="Z89" s="4">
        <v>4</v>
      </c>
      <c r="AC89" s="35">
        <f t="shared" si="135"/>
        <v>1679.9686672038761</v>
      </c>
      <c r="AD89" s="4">
        <f t="shared" si="136"/>
        <v>0.47052218318258499</v>
      </c>
      <c r="AE89" s="4">
        <f t="shared" si="137"/>
        <v>0</v>
      </c>
      <c r="AF89" s="4">
        <f t="shared" si="138"/>
        <v>0.98526109159129249</v>
      </c>
      <c r="AG89" s="4">
        <f t="shared" si="139"/>
        <v>0</v>
      </c>
      <c r="AH89" s="4">
        <f t="shared" si="140"/>
        <v>0.98526109159129249</v>
      </c>
      <c r="AI89" s="31">
        <f t="shared" si="141"/>
        <v>0.93285124102418571</v>
      </c>
      <c r="AJ89" s="30">
        <f t="shared" si="142"/>
        <v>0</v>
      </c>
    </row>
    <row r="90" spans="1:36" x14ac:dyDescent="0.25">
      <c r="A90" t="s">
        <v>142</v>
      </c>
      <c r="B90">
        <v>193.7</v>
      </c>
      <c r="C90">
        <v>3.5</v>
      </c>
      <c r="D90">
        <v>392.2</v>
      </c>
      <c r="E90">
        <v>200</v>
      </c>
      <c r="F90">
        <v>30.9</v>
      </c>
      <c r="G90" s="7">
        <f t="shared" si="143"/>
        <v>33.0679719999141</v>
      </c>
      <c r="H90">
        <v>2500</v>
      </c>
      <c r="I90" s="7">
        <f t="shared" si="124"/>
        <v>12.906556530717605</v>
      </c>
      <c r="J90" s="31">
        <f t="shared" si="125"/>
        <v>0.58712772655999534</v>
      </c>
      <c r="K90" s="32">
        <f t="shared" si="126"/>
        <v>55.342857142857142</v>
      </c>
      <c r="L90" s="33">
        <f t="shared" si="127"/>
        <v>1.0262632894292467</v>
      </c>
      <c r="M90">
        <v>1620.8</v>
      </c>
      <c r="N90" s="4">
        <f t="shared" si="128"/>
        <v>1539</v>
      </c>
      <c r="O90" s="4">
        <f t="shared" si="129"/>
        <v>1927</v>
      </c>
      <c r="P90" s="34">
        <f t="shared" si="130"/>
        <v>1666.1657028892103</v>
      </c>
      <c r="Q90" s="35">
        <f t="shared" si="131"/>
        <v>1666.1657028892105</v>
      </c>
      <c r="R90" s="35">
        <f t="shared" si="132"/>
        <v>1490.8978104235612</v>
      </c>
      <c r="S90" s="30">
        <f t="shared" si="133"/>
        <v>1.0871301766413715</v>
      </c>
      <c r="T90" s="36">
        <f t="shared" si="134"/>
        <v>0.4922863891541594</v>
      </c>
      <c r="X90" s="4">
        <v>290</v>
      </c>
      <c r="Y90" s="37">
        <v>0</v>
      </c>
      <c r="Z90" s="4">
        <v>4</v>
      </c>
      <c r="AC90" s="35">
        <f t="shared" si="135"/>
        <v>1666.1657028892105</v>
      </c>
      <c r="AD90" s="4">
        <f t="shared" si="136"/>
        <v>0.5857315542721806</v>
      </c>
      <c r="AE90" s="4">
        <f t="shared" si="137"/>
        <v>0</v>
      </c>
      <c r="AF90" s="4">
        <f t="shared" si="138"/>
        <v>1</v>
      </c>
      <c r="AG90" s="4">
        <f t="shared" si="139"/>
        <v>0</v>
      </c>
      <c r="AH90" s="4">
        <f t="shared" si="140"/>
        <v>1</v>
      </c>
      <c r="AI90" s="31">
        <f t="shared" si="141"/>
        <v>0.89480764598519436</v>
      </c>
      <c r="AJ90" s="30">
        <f t="shared" si="142"/>
        <v>0</v>
      </c>
    </row>
    <row r="91" spans="1:36" x14ac:dyDescent="0.25">
      <c r="A91" s="39" t="s">
        <v>145</v>
      </c>
      <c r="B91" s="40">
        <v>2012</v>
      </c>
      <c r="C91" s="40" t="s">
        <v>159</v>
      </c>
      <c r="G91" s="7"/>
      <c r="I91" s="7"/>
      <c r="J91" s="31"/>
      <c r="K91" s="32"/>
      <c r="L91" s="33"/>
      <c r="N91" s="4"/>
      <c r="O91" s="4"/>
      <c r="P91" s="34"/>
      <c r="Q91" s="35"/>
      <c r="R91" s="42" t="s">
        <v>168</v>
      </c>
      <c r="S91" s="45">
        <f>AVERAGE(S67:S90)</f>
        <v>1.0788835147459841</v>
      </c>
      <c r="T91" s="36"/>
      <c r="X91" s="4"/>
      <c r="Y91" s="37"/>
      <c r="Z91" s="4"/>
      <c r="AC91" s="35"/>
      <c r="AD91" s="4"/>
      <c r="AE91" s="4"/>
      <c r="AF91" s="4"/>
      <c r="AG91" s="4"/>
      <c r="AH91" s="4"/>
      <c r="AI91" s="31"/>
      <c r="AJ91" s="30"/>
    </row>
    <row r="92" spans="1:36" x14ac:dyDescent="0.25">
      <c r="A92" t="s">
        <v>143</v>
      </c>
      <c r="B92">
        <v>150</v>
      </c>
      <c r="C92">
        <v>3</v>
      </c>
      <c r="D92">
        <v>324.39999999999998</v>
      </c>
      <c r="E92">
        <v>200</v>
      </c>
      <c r="F92">
        <v>42.1</v>
      </c>
      <c r="G92" s="7">
        <f t="shared" si="143"/>
        <v>35.675822836398801</v>
      </c>
      <c r="H92">
        <v>675</v>
      </c>
      <c r="I92" s="7">
        <f t="shared" ref="I92:I93" si="144">(H92/B92)</f>
        <v>4.5</v>
      </c>
      <c r="J92" s="31">
        <f t="shared" ref="J92:J93" si="145">SQRT((64*AC92*H92*H92)/(PI()^3*((B92^4-(B92-2*C92)^4)*E92+(B92-2*C92)^4*G92*0.8/1.35)))</f>
        <v>0.20940447920439456</v>
      </c>
      <c r="K92" s="32">
        <f t="shared" ref="K92:K93" si="146">B92/C92</f>
        <v>50</v>
      </c>
      <c r="L92" s="33">
        <f t="shared" ref="L92:L93" si="147">K92/(90*235/D92)</f>
        <v>0.76690307328605201</v>
      </c>
      <c r="M92">
        <v>1462</v>
      </c>
      <c r="N92" s="4">
        <f t="shared" ref="N92:N93" si="148">ROUND((0.85*F92*(B92-2*C92)^2+D92*(B92*B92-(B92-2*C92)^2))*PI()/4000,0)</f>
        <v>1032</v>
      </c>
      <c r="O92" s="4">
        <f t="shared" ref="O92:O93" si="149">ROUND((0.85*F92+6*C92*D92/(B92-2*C92))*PI()*(B92-2*C92)^2/4000,0)</f>
        <v>1243</v>
      </c>
      <c r="P92" s="34">
        <f t="shared" ref="P92:P93" si="150">PI()*((B92*B92-(B92-2*C92)^2)*D92+(B92-2*C92)^2*F92)/4000</f>
        <v>1135.0787885720367</v>
      </c>
      <c r="Q92" s="35">
        <f t="shared" ref="Q92:Q93" si="151">0.00025*PI()*((B92*B92-(B92-2*C92)^2)*D92*AH92+F92*(B92-2*C92)^2*(1+AG92*C92*D92/(B92*F92)))</f>
        <v>1257.4332795632006</v>
      </c>
      <c r="R92" s="35">
        <f t="shared" ref="R92:R93" si="152">AI92*Q92</f>
        <v>1254.8416316945311</v>
      </c>
      <c r="S92" s="30">
        <f t="shared" ref="S92:S93" si="153">M92/R92</f>
        <v>1.1650872612711483</v>
      </c>
      <c r="T92" s="36">
        <f t="shared" ref="T92:T93" si="154">(PI()*(B92-C92)*C92*D92)/(1000*P92)</f>
        <v>0.3959526917290237</v>
      </c>
      <c r="X92" s="4">
        <v>290</v>
      </c>
      <c r="Y92" s="37">
        <v>0</v>
      </c>
      <c r="Z92" s="4">
        <v>4</v>
      </c>
      <c r="AC92" s="35">
        <f t="shared" ref="AC92:AC93" si="155">0.00025*PI()*((B92*B92-(B92-2*C92)^2)*D92+F92*(B92-2*C92)^2)</f>
        <v>1135.0787885720367</v>
      </c>
      <c r="AD92" s="4">
        <f t="shared" ref="AD92:AD93" si="156">SQRT((64*AC92*H92*H92)/(PI()^3*((B92^4-(B92-2*C92)^4)*E92+(B92-2*C92)^4*G92*0.6)))</f>
        <v>0.20891747009277936</v>
      </c>
      <c r="AE92" s="4">
        <f t="shared" ref="AE92:AE93" si="157">IF(AD92&gt;0.5,0,AJ92)</f>
        <v>1.7770174615530272</v>
      </c>
      <c r="AF92" s="4">
        <f t="shared" ref="AF92:AF93" si="158">IF((0.25*(3+2*AD92))&gt;1,1,(0.25*(3+2*AD92)))</f>
        <v>0.85445873504638969</v>
      </c>
      <c r="AG92" s="4">
        <f t="shared" ref="AG92:AG93" si="159">AE92</f>
        <v>1.7770174615530272</v>
      </c>
      <c r="AH92" s="4">
        <f t="shared" ref="AH92:AH93" si="160">AF92</f>
        <v>0.85445873504638969</v>
      </c>
      <c r="AI92" s="31">
        <f t="shared" ref="AI92:AI93" si="161">IF(J92&lt;0.2,1,1/(0.5*(1+0.21*(J92-0.2)+J92*J92)+SQRT((0.5*(1+0.21*(J92-0.2)+J92*J92))^2-J92*J92)))</f>
        <v>0.99793893806471401</v>
      </c>
      <c r="AJ92" s="30">
        <f t="shared" ref="AJ92:AJ93" si="162">IF((4.9-18.5*AD92+17*AD92*AD92)&lt;0,0,(4.9-18.5*AD92+17*AD92*AD92))</f>
        <v>1.7770174615530272</v>
      </c>
    </row>
    <row r="93" spans="1:36" x14ac:dyDescent="0.25">
      <c r="A93" t="s">
        <v>144</v>
      </c>
      <c r="B93">
        <v>150</v>
      </c>
      <c r="C93">
        <v>3</v>
      </c>
      <c r="D93">
        <v>324.39999999999998</v>
      </c>
      <c r="E93">
        <v>200</v>
      </c>
      <c r="F93">
        <v>42.1</v>
      </c>
      <c r="G93" s="7">
        <f t="shared" si="143"/>
        <v>35.675822836398801</v>
      </c>
      <c r="H93">
        <v>900</v>
      </c>
      <c r="I93" s="7">
        <f t="shared" si="144"/>
        <v>6</v>
      </c>
      <c r="J93" s="31">
        <f t="shared" si="145"/>
        <v>0.27920597227252608</v>
      </c>
      <c r="K93" s="32">
        <f t="shared" si="146"/>
        <v>50</v>
      </c>
      <c r="L93" s="33">
        <f t="shared" si="147"/>
        <v>0.76690307328605201</v>
      </c>
      <c r="M93">
        <v>1489</v>
      </c>
      <c r="N93" s="4">
        <f t="shared" si="148"/>
        <v>1032</v>
      </c>
      <c r="O93" s="4">
        <f t="shared" si="149"/>
        <v>1243</v>
      </c>
      <c r="P93" s="34">
        <f t="shared" si="150"/>
        <v>1135.0787885720367</v>
      </c>
      <c r="Q93" s="35">
        <f t="shared" si="151"/>
        <v>1197.9323272489207</v>
      </c>
      <c r="R93" s="35">
        <f t="shared" si="152"/>
        <v>1176.7362499147355</v>
      </c>
      <c r="S93" s="30">
        <f t="shared" si="153"/>
        <v>1.2653642650236114</v>
      </c>
      <c r="T93" s="36">
        <f t="shared" si="154"/>
        <v>0.3959526917290237</v>
      </c>
      <c r="X93" s="4">
        <v>290</v>
      </c>
      <c r="Y93" s="37">
        <v>0</v>
      </c>
      <c r="Z93" s="4">
        <v>4</v>
      </c>
      <c r="AC93" s="35">
        <f t="shared" si="155"/>
        <v>1135.0787885720367</v>
      </c>
      <c r="AD93" s="4">
        <f t="shared" si="156"/>
        <v>0.27855662679037252</v>
      </c>
      <c r="AE93" s="4">
        <f t="shared" si="157"/>
        <v>1.0657969079682337</v>
      </c>
      <c r="AF93" s="4">
        <f t="shared" si="158"/>
        <v>0.88927831339518626</v>
      </c>
      <c r="AG93" s="4">
        <f t="shared" si="159"/>
        <v>1.0657969079682337</v>
      </c>
      <c r="AH93" s="4">
        <f t="shared" si="160"/>
        <v>0.88927831339518626</v>
      </c>
      <c r="AI93" s="31">
        <f t="shared" si="161"/>
        <v>0.98230611458423323</v>
      </c>
      <c r="AJ93" s="30">
        <f t="shared" si="162"/>
        <v>1.0657969079682337</v>
      </c>
    </row>
    <row r="94" spans="1:36" x14ac:dyDescent="0.25">
      <c r="A94" s="39" t="s">
        <v>151</v>
      </c>
      <c r="B94" s="40">
        <v>2013</v>
      </c>
      <c r="C94" s="40" t="s">
        <v>160</v>
      </c>
      <c r="G94" s="7"/>
      <c r="I94" s="7"/>
      <c r="J94" s="31"/>
      <c r="K94" s="32"/>
      <c r="L94" s="33"/>
      <c r="N94" s="4"/>
      <c r="O94" s="4"/>
      <c r="P94" s="34"/>
      <c r="Q94" s="35"/>
      <c r="R94" s="42" t="s">
        <v>164</v>
      </c>
      <c r="S94" s="45">
        <f>AVERAGE(S92:S93)</f>
        <v>1.2152257631473797</v>
      </c>
      <c r="T94" s="36"/>
      <c r="X94" s="4"/>
      <c r="Y94" s="37"/>
      <c r="Z94" s="4"/>
      <c r="AC94" s="35"/>
      <c r="AD94" s="4"/>
      <c r="AE94" s="4"/>
      <c r="AF94" s="4"/>
      <c r="AG94" s="4"/>
      <c r="AH94" s="4"/>
      <c r="AI94" s="31"/>
      <c r="AJ94" s="30"/>
    </row>
    <row r="95" spans="1:36" x14ac:dyDescent="0.25">
      <c r="A95" t="s">
        <v>146</v>
      </c>
      <c r="B95">
        <v>76.209999999999994</v>
      </c>
      <c r="C95">
        <v>2.52</v>
      </c>
      <c r="D95">
        <v>286</v>
      </c>
      <c r="E95">
        <v>200</v>
      </c>
      <c r="F95">
        <v>145</v>
      </c>
      <c r="G95" s="7">
        <f t="shared" si="143"/>
        <v>49.868936898619971</v>
      </c>
      <c r="H95">
        <v>400</v>
      </c>
      <c r="I95" s="7">
        <f t="shared" ref="I95:I101" si="163">(H95/B95)</f>
        <v>5.2486550321480125</v>
      </c>
      <c r="J95" s="31">
        <f t="shared" ref="J95:J101" si="164">SQRT((64*AC95*H95*H95)/(PI()^3*((B95^4-(B95-2*C95)^4)*E95+(B95-2*C95)^4*G95*0.8/1.35)))</f>
        <v>0.32168168789884172</v>
      </c>
      <c r="K95" s="32">
        <f t="shared" ref="K95:K101" si="165">B95/C95</f>
        <v>30.24206349206349</v>
      </c>
      <c r="L95" s="33">
        <f t="shared" ref="L95:L101" si="166">K95/(90*235/D95)</f>
        <v>0.40894705242222973</v>
      </c>
      <c r="M95">
        <v>752</v>
      </c>
      <c r="N95" s="4">
        <f t="shared" ref="N95:N105" si="167">ROUND((0.85*F95*(B95-2*C95)^2+D95*(B95*B95-(B95-2*C95)^2))*PI()/4000,0)</f>
        <v>657</v>
      </c>
      <c r="O95" s="4">
        <f t="shared" ref="O95:O105" si="168">ROUND((0.85*F95+6*C95*D95/(B95-2*C95))*PI()*(B95-2*C95)^2/4000,0)</f>
        <v>732</v>
      </c>
      <c r="P95" s="34">
        <f t="shared" ref="P95:P105" si="169">PI()*((B95*B95-(B95-2*C95)^2)*D95+(B95-2*C95)^2*F95)/4000</f>
        <v>743.68481690297767</v>
      </c>
      <c r="Q95" s="35">
        <f t="shared" ref="Q95:Q105" si="170">0.00025*PI()*((B95*B95-(B95-2*C95)^2)*D95*AH95+F95*(B95-2*C95)^2*(1+AG95*C95*D95/(B95*F95)))</f>
        <v>755.57511306989977</v>
      </c>
      <c r="R95" s="35">
        <f t="shared" ref="R95:R105" si="171">AI95*Q95</f>
        <v>734.70081153667525</v>
      </c>
      <c r="S95" s="30">
        <f t="shared" ref="S95:S105" si="172">M95/R95</f>
        <v>1.0235458954062435</v>
      </c>
      <c r="T95" s="36">
        <f t="shared" ref="T95:T105" si="173">(PI()*(B95-C95)*C95*D95)/(1000*P95)</f>
        <v>0.2243551732720844</v>
      </c>
      <c r="X95" s="4">
        <v>290</v>
      </c>
      <c r="Y95" s="37">
        <v>0</v>
      </c>
      <c r="Z95" s="4">
        <v>4</v>
      </c>
      <c r="AC95" s="35">
        <f t="shared" ref="AC95:AC105" si="174">0.00025*PI()*((B95*B95-(B95-2*C95)^2)*D95+F95*(B95-2*C95)^2)</f>
        <v>743.68481690297767</v>
      </c>
      <c r="AD95" s="4">
        <f t="shared" ref="AD95:AD105" si="175">SQRT((64*AC95*H95*H95)/(PI()^3*((B95^4-(B95-2*C95)^4)*E95+(B95-2*C95)^4*G95*0.6)))</f>
        <v>0.32104136984323162</v>
      </c>
      <c r="AE95" s="4">
        <f t="shared" ref="AE95:AE105" si="176">IF(AD95&gt;0.5,0,AJ95)</f>
        <v>0.71288319746413231</v>
      </c>
      <c r="AF95" s="4">
        <f t="shared" ref="AF95:AF105" si="177">IF((0.25*(3+2*AD95))&gt;1,1,(0.25*(3+2*AD95)))</f>
        <v>0.91052068492161586</v>
      </c>
      <c r="AG95" s="4">
        <f t="shared" ref="AG95:AG105" si="178">AE95</f>
        <v>0.71288319746413231</v>
      </c>
      <c r="AH95" s="4">
        <f t="shared" ref="AH95:AH105" si="179">AF95</f>
        <v>0.91052068492161586</v>
      </c>
      <c r="AI95" s="31">
        <f t="shared" ref="AI95:AI105" si="180">IF(J95&lt;0.2,1,1/(0.5*(1+0.21*(J95-0.2)+J95*J95)+SQRT((0.5*(1+0.21*(J95-0.2)+J95*J95))^2-J95*J95)))</f>
        <v>0.97237296309507559</v>
      </c>
      <c r="AJ95" s="30">
        <f t="shared" ref="AJ95:AJ105" si="181">IF((4.9-18.5*AD95+17*AD95*AD95)&lt;0,0,(4.9-18.5*AD95+17*AD95*AD95))</f>
        <v>0.71288319746413231</v>
      </c>
    </row>
    <row r="96" spans="1:36" x14ac:dyDescent="0.25">
      <c r="A96" t="s">
        <v>147</v>
      </c>
      <c r="B96">
        <v>76.12</v>
      </c>
      <c r="C96">
        <v>2.5099999999999998</v>
      </c>
      <c r="D96">
        <v>286</v>
      </c>
      <c r="E96">
        <v>200</v>
      </c>
      <c r="F96">
        <v>145</v>
      </c>
      <c r="G96" s="7">
        <f t="shared" si="143"/>
        <v>49.868936898619971</v>
      </c>
      <c r="H96">
        <v>400</v>
      </c>
      <c r="I96" s="7">
        <f t="shared" si="163"/>
        <v>5.2548607461902259</v>
      </c>
      <c r="J96" s="31">
        <f t="shared" si="164"/>
        <v>0.3222488319877147</v>
      </c>
      <c r="K96" s="32">
        <f t="shared" si="165"/>
        <v>30.326693227091639</v>
      </c>
      <c r="L96" s="33">
        <f t="shared" si="166"/>
        <v>0.41009145451291767</v>
      </c>
      <c r="M96">
        <v>762</v>
      </c>
      <c r="N96" s="4">
        <f t="shared" si="167"/>
        <v>655</v>
      </c>
      <c r="O96" s="4">
        <f t="shared" si="168"/>
        <v>730</v>
      </c>
      <c r="P96" s="34">
        <f t="shared" si="169"/>
        <v>741.70815091706254</v>
      </c>
      <c r="Q96" s="35">
        <f t="shared" si="170"/>
        <v>753.43313772783006</v>
      </c>
      <c r="R96" s="35">
        <f t="shared" si="171"/>
        <v>732.51597645491358</v>
      </c>
      <c r="S96" s="30">
        <f t="shared" si="172"/>
        <v>1.0402503487879915</v>
      </c>
      <c r="T96" s="36">
        <f t="shared" si="173"/>
        <v>0.22381716652498426</v>
      </c>
      <c r="X96" s="4">
        <v>290</v>
      </c>
      <c r="Y96" s="37">
        <v>0</v>
      </c>
      <c r="Z96" s="4">
        <v>4</v>
      </c>
      <c r="AC96" s="35">
        <f t="shared" si="174"/>
        <v>741.70815091706254</v>
      </c>
      <c r="AD96" s="4">
        <f t="shared" si="175"/>
        <v>0.3216059455361055</v>
      </c>
      <c r="AE96" s="4">
        <f t="shared" si="176"/>
        <v>0.70860653905298032</v>
      </c>
      <c r="AF96" s="4">
        <f t="shared" si="177"/>
        <v>0.91080297276805278</v>
      </c>
      <c r="AG96" s="4">
        <f t="shared" si="178"/>
        <v>0.70860653905298032</v>
      </c>
      <c r="AH96" s="4">
        <f t="shared" si="179"/>
        <v>0.91080297276805278</v>
      </c>
      <c r="AI96" s="31">
        <f t="shared" si="180"/>
        <v>0.97223753479174346</v>
      </c>
      <c r="AJ96" s="30">
        <f t="shared" si="181"/>
        <v>0.70860653905298032</v>
      </c>
    </row>
    <row r="97" spans="1:36" x14ac:dyDescent="0.25">
      <c r="A97" t="s">
        <v>148</v>
      </c>
      <c r="B97">
        <v>76.11</v>
      </c>
      <c r="C97">
        <v>2.48</v>
      </c>
      <c r="D97">
        <v>286</v>
      </c>
      <c r="E97">
        <v>200</v>
      </c>
      <c r="F97">
        <v>145</v>
      </c>
      <c r="G97" s="7">
        <f t="shared" si="143"/>
        <v>49.868936898619971</v>
      </c>
      <c r="H97">
        <v>400</v>
      </c>
      <c r="I97" s="7">
        <f t="shared" si="163"/>
        <v>5.2555511759295754</v>
      </c>
      <c r="J97" s="31">
        <f t="shared" si="164"/>
        <v>0.32308676108129208</v>
      </c>
      <c r="K97" s="32">
        <f t="shared" si="165"/>
        <v>30.68951612903226</v>
      </c>
      <c r="L97" s="33">
        <f t="shared" si="166"/>
        <v>0.414997712194006</v>
      </c>
      <c r="M97">
        <v>774</v>
      </c>
      <c r="N97" s="4">
        <f t="shared" si="167"/>
        <v>654</v>
      </c>
      <c r="O97" s="4">
        <f t="shared" si="168"/>
        <v>728</v>
      </c>
      <c r="P97" s="34">
        <f t="shared" si="169"/>
        <v>740.57855962691815</v>
      </c>
      <c r="Q97" s="35">
        <f t="shared" si="170"/>
        <v>752.03560445669552</v>
      </c>
      <c r="R97" s="35">
        <f t="shared" si="171"/>
        <v>731.00665699678291</v>
      </c>
      <c r="S97" s="30">
        <f t="shared" si="172"/>
        <v>1.0588138871126673</v>
      </c>
      <c r="T97" s="36">
        <f t="shared" si="173"/>
        <v>0.22153954143077234</v>
      </c>
      <c r="X97" s="4">
        <v>290</v>
      </c>
      <c r="Y97" s="37">
        <v>0</v>
      </c>
      <c r="Z97" s="4">
        <v>4</v>
      </c>
      <c r="AC97" s="35">
        <f t="shared" si="174"/>
        <v>740.57855962691826</v>
      </c>
      <c r="AD97" s="4">
        <f t="shared" si="175"/>
        <v>0.32243604970242218</v>
      </c>
      <c r="AE97" s="4">
        <f t="shared" si="176"/>
        <v>0.70233818501613876</v>
      </c>
      <c r="AF97" s="4">
        <f t="shared" si="177"/>
        <v>0.91121802485121106</v>
      </c>
      <c r="AG97" s="4">
        <f t="shared" si="178"/>
        <v>0.70233818501613876</v>
      </c>
      <c r="AH97" s="4">
        <f t="shared" si="179"/>
        <v>0.91121802485121106</v>
      </c>
      <c r="AI97" s="31">
        <f t="shared" si="180"/>
        <v>0.97203729805438555</v>
      </c>
      <c r="AJ97" s="30">
        <f t="shared" si="181"/>
        <v>0.70233818501613876</v>
      </c>
    </row>
    <row r="98" spans="1:36" x14ac:dyDescent="0.25">
      <c r="A98" t="s">
        <v>149</v>
      </c>
      <c r="B98">
        <v>76.19</v>
      </c>
      <c r="C98">
        <v>2.99</v>
      </c>
      <c r="D98">
        <v>278</v>
      </c>
      <c r="E98">
        <v>200</v>
      </c>
      <c r="F98">
        <v>145</v>
      </c>
      <c r="G98" s="7">
        <f t="shared" si="143"/>
        <v>49.868936898619971</v>
      </c>
      <c r="H98">
        <v>400</v>
      </c>
      <c r="I98" s="7">
        <f t="shared" si="163"/>
        <v>5.2500328127050793</v>
      </c>
      <c r="J98" s="31">
        <f t="shared" si="164"/>
        <v>0.30931361242368205</v>
      </c>
      <c r="K98" s="32">
        <f t="shared" si="165"/>
        <v>25.481605351170565</v>
      </c>
      <c r="L98" s="33">
        <f t="shared" si="166"/>
        <v>0.33493552187354214</v>
      </c>
      <c r="M98">
        <v>805</v>
      </c>
      <c r="N98" s="4">
        <f t="shared" si="167"/>
        <v>668</v>
      </c>
      <c r="O98" s="4">
        <f t="shared" si="168"/>
        <v>752</v>
      </c>
      <c r="P98" s="34">
        <f t="shared" si="169"/>
        <v>752.52972974484373</v>
      </c>
      <c r="Q98" s="35">
        <f t="shared" si="170"/>
        <v>768.40056606954806</v>
      </c>
      <c r="R98" s="35">
        <f t="shared" si="171"/>
        <v>749.4263083106448</v>
      </c>
      <c r="S98" s="30">
        <f t="shared" si="172"/>
        <v>1.0741549783789006</v>
      </c>
      <c r="T98" s="36">
        <f t="shared" si="173"/>
        <v>0.25401143967647666</v>
      </c>
      <c r="X98" s="4">
        <v>290</v>
      </c>
      <c r="Y98" s="37">
        <v>0</v>
      </c>
      <c r="Z98" s="4">
        <v>4</v>
      </c>
      <c r="AC98" s="35">
        <f t="shared" si="174"/>
        <v>752.52972974484385</v>
      </c>
      <c r="AD98" s="4">
        <f t="shared" si="175"/>
        <v>0.3087805702479357</v>
      </c>
      <c r="AE98" s="4">
        <f t="shared" si="176"/>
        <v>0.80843193997807572</v>
      </c>
      <c r="AF98" s="4">
        <f t="shared" si="177"/>
        <v>0.9043902851239678</v>
      </c>
      <c r="AG98" s="4">
        <f t="shared" si="178"/>
        <v>0.80843193997807572</v>
      </c>
      <c r="AH98" s="4">
        <f t="shared" si="179"/>
        <v>0.9043902851239678</v>
      </c>
      <c r="AI98" s="31">
        <f t="shared" si="180"/>
        <v>0.97530681444450429</v>
      </c>
      <c r="AJ98" s="30">
        <f t="shared" si="181"/>
        <v>0.80843193997807572</v>
      </c>
    </row>
    <row r="99" spans="1:36" x14ac:dyDescent="0.25">
      <c r="A99" t="s">
        <v>150</v>
      </c>
      <c r="B99">
        <v>75.84</v>
      </c>
      <c r="C99">
        <v>2.99</v>
      </c>
      <c r="D99">
        <v>278</v>
      </c>
      <c r="E99">
        <v>200</v>
      </c>
      <c r="F99">
        <v>145</v>
      </c>
      <c r="G99" s="7">
        <f t="shared" si="143"/>
        <v>49.868936898619971</v>
      </c>
      <c r="H99">
        <v>400</v>
      </c>
      <c r="I99" s="7">
        <f t="shared" si="163"/>
        <v>5.2742616033755274</v>
      </c>
      <c r="J99" s="31">
        <f t="shared" si="164"/>
        <v>0.31043598799757882</v>
      </c>
      <c r="K99" s="32">
        <f t="shared" si="165"/>
        <v>25.364548494983278</v>
      </c>
      <c r="L99" s="33">
        <f t="shared" si="166"/>
        <v>0.33339690220356266</v>
      </c>
      <c r="M99">
        <v>796</v>
      </c>
      <c r="N99" s="4">
        <f t="shared" si="167"/>
        <v>663</v>
      </c>
      <c r="O99" s="4">
        <f t="shared" si="168"/>
        <v>746</v>
      </c>
      <c r="P99" s="34">
        <f t="shared" si="169"/>
        <v>746.03271154099866</v>
      </c>
      <c r="Q99" s="35">
        <f t="shared" si="170"/>
        <v>761.53766913151549</v>
      </c>
      <c r="R99" s="35">
        <f t="shared" si="171"/>
        <v>742.53127064626187</v>
      </c>
      <c r="S99" s="30">
        <f t="shared" si="172"/>
        <v>1.0720087240328635</v>
      </c>
      <c r="T99" s="36">
        <f t="shared" si="173"/>
        <v>0.25499845111745101</v>
      </c>
      <c r="X99" s="4">
        <v>290</v>
      </c>
      <c r="Y99" s="37">
        <v>0</v>
      </c>
      <c r="Z99" s="4">
        <v>4</v>
      </c>
      <c r="AC99" s="35">
        <f t="shared" si="174"/>
        <v>746.03271154099866</v>
      </c>
      <c r="AD99" s="4">
        <f t="shared" si="175"/>
        <v>0.30990318157991686</v>
      </c>
      <c r="AE99" s="4">
        <f t="shared" si="176"/>
        <v>0.79947083397857188</v>
      </c>
      <c r="AF99" s="4">
        <f t="shared" si="177"/>
        <v>0.90495159078995846</v>
      </c>
      <c r="AG99" s="4">
        <f t="shared" si="178"/>
        <v>0.79947083397857188</v>
      </c>
      <c r="AH99" s="4">
        <f t="shared" si="179"/>
        <v>0.90495159078995846</v>
      </c>
      <c r="AI99" s="31">
        <f t="shared" si="180"/>
        <v>0.97504207702958523</v>
      </c>
      <c r="AJ99" s="30">
        <f t="shared" si="181"/>
        <v>0.79947083397857188</v>
      </c>
    </row>
    <row r="100" spans="1:36" x14ac:dyDescent="0.25">
      <c r="A100" t="s">
        <v>152</v>
      </c>
      <c r="B100">
        <v>75.97</v>
      </c>
      <c r="C100">
        <v>2.98</v>
      </c>
      <c r="D100">
        <v>278</v>
      </c>
      <c r="E100">
        <v>200</v>
      </c>
      <c r="F100">
        <v>145</v>
      </c>
      <c r="G100" s="7">
        <f t="shared" si="143"/>
        <v>49.868936898619971</v>
      </c>
      <c r="H100">
        <v>400</v>
      </c>
      <c r="I100" s="7">
        <f t="shared" si="163"/>
        <v>5.2652362774779515</v>
      </c>
      <c r="J100" s="31">
        <f t="shared" si="164"/>
        <v>0.31023968360178811</v>
      </c>
      <c r="K100" s="32">
        <f t="shared" si="165"/>
        <v>25.493288590604028</v>
      </c>
      <c r="L100" s="33">
        <f t="shared" si="166"/>
        <v>0.33508908880321131</v>
      </c>
      <c r="M100">
        <v>801</v>
      </c>
      <c r="N100" s="4">
        <f t="shared" si="167"/>
        <v>664</v>
      </c>
      <c r="O100" s="4">
        <f t="shared" si="168"/>
        <v>748</v>
      </c>
      <c r="P100" s="34">
        <f t="shared" si="169"/>
        <v>748.15015040876517</v>
      </c>
      <c r="Q100" s="35">
        <f t="shared" si="170"/>
        <v>763.70249014237663</v>
      </c>
      <c r="R100" s="35">
        <f t="shared" si="171"/>
        <v>744.67743991767475</v>
      </c>
      <c r="S100" s="30">
        <f t="shared" si="172"/>
        <v>1.0756334985635549</v>
      </c>
      <c r="T100" s="36">
        <f t="shared" si="173"/>
        <v>0.25391334613198224</v>
      </c>
      <c r="X100" s="4">
        <v>290</v>
      </c>
      <c r="Y100" s="37">
        <v>0</v>
      </c>
      <c r="Z100" s="4">
        <v>4</v>
      </c>
      <c r="AC100" s="35">
        <f t="shared" si="174"/>
        <v>748.15015040876528</v>
      </c>
      <c r="AD100" s="4">
        <f t="shared" si="175"/>
        <v>0.30970482944123168</v>
      </c>
      <c r="AE100" s="4">
        <f t="shared" si="176"/>
        <v>0.80105103878399508</v>
      </c>
      <c r="AF100" s="4">
        <f t="shared" si="177"/>
        <v>0.90485241472061584</v>
      </c>
      <c r="AG100" s="4">
        <f t="shared" si="178"/>
        <v>0.80105103878399508</v>
      </c>
      <c r="AH100" s="4">
        <f t="shared" si="179"/>
        <v>0.90485241472061584</v>
      </c>
      <c r="AI100" s="31">
        <f t="shared" si="180"/>
        <v>0.97508840095420535</v>
      </c>
      <c r="AJ100" s="30">
        <f t="shared" si="181"/>
        <v>0.80105103878399508</v>
      </c>
    </row>
    <row r="101" spans="1:36" x14ac:dyDescent="0.25">
      <c r="A101" t="s">
        <v>153</v>
      </c>
      <c r="B101">
        <v>76.180000000000007</v>
      </c>
      <c r="C101">
        <v>3.31</v>
      </c>
      <c r="D101">
        <v>305</v>
      </c>
      <c r="E101">
        <v>200</v>
      </c>
      <c r="F101">
        <v>145</v>
      </c>
      <c r="G101" s="7">
        <f t="shared" si="143"/>
        <v>49.868936898619971</v>
      </c>
      <c r="H101">
        <v>400</v>
      </c>
      <c r="I101" s="7">
        <f t="shared" si="163"/>
        <v>5.2507219742714621</v>
      </c>
      <c r="J101" s="31">
        <f t="shared" si="164"/>
        <v>0.3067402062880254</v>
      </c>
      <c r="K101" s="32">
        <f t="shared" si="165"/>
        <v>23.015105740181269</v>
      </c>
      <c r="L101" s="33">
        <f t="shared" si="166"/>
        <v>0.33189632391277957</v>
      </c>
      <c r="M101">
        <v>841</v>
      </c>
      <c r="N101" s="4">
        <f t="shared" si="167"/>
        <v>699</v>
      </c>
      <c r="O101" s="4">
        <f t="shared" si="168"/>
        <v>799</v>
      </c>
      <c r="P101" s="34">
        <f t="shared" si="169"/>
        <v>782.14638409392307</v>
      </c>
      <c r="Q101" s="35">
        <f t="shared" si="170"/>
        <v>801.49360680358041</v>
      </c>
      <c r="R101" s="35">
        <f t="shared" si="171"/>
        <v>782.18779967983653</v>
      </c>
      <c r="S101" s="30">
        <f t="shared" si="172"/>
        <v>1.0751893603355056</v>
      </c>
      <c r="T101" s="36">
        <f t="shared" si="173"/>
        <v>0.2954870372072268</v>
      </c>
      <c r="X101" s="4">
        <v>290</v>
      </c>
      <c r="Y101" s="37">
        <v>0</v>
      </c>
      <c r="Z101" s="4">
        <v>4</v>
      </c>
      <c r="AC101" s="35">
        <f t="shared" si="174"/>
        <v>782.14638409392307</v>
      </c>
      <c r="AD101" s="4">
        <f t="shared" si="175"/>
        <v>0.30625819881841515</v>
      </c>
      <c r="AE101" s="4">
        <f t="shared" si="176"/>
        <v>0.82872275569881793</v>
      </c>
      <c r="AF101" s="4">
        <f t="shared" si="177"/>
        <v>0.9031290994092076</v>
      </c>
      <c r="AG101" s="4">
        <f t="shared" si="178"/>
        <v>0.82872275569881793</v>
      </c>
      <c r="AH101" s="4">
        <f t="shared" si="179"/>
        <v>0.9031290994092076</v>
      </c>
      <c r="AI101" s="31">
        <f t="shared" si="180"/>
        <v>0.97591271226636866</v>
      </c>
      <c r="AJ101" s="30">
        <f t="shared" si="181"/>
        <v>0.82872275569881793</v>
      </c>
    </row>
    <row r="102" spans="1:36" x14ac:dyDescent="0.25">
      <c r="A102" s="39" t="s">
        <v>154</v>
      </c>
      <c r="B102" s="40">
        <v>2013</v>
      </c>
      <c r="C102" s="40" t="s">
        <v>161</v>
      </c>
      <c r="G102" s="7"/>
      <c r="I102" s="7"/>
      <c r="J102" s="31"/>
      <c r="K102" s="32"/>
      <c r="L102" s="33"/>
      <c r="N102" s="4"/>
      <c r="O102" s="4"/>
      <c r="P102" s="34"/>
      <c r="Q102" s="35"/>
      <c r="R102" s="42" t="s">
        <v>165</v>
      </c>
      <c r="S102" s="45">
        <f>AVERAGE(S95:S101)</f>
        <v>1.0599423846596752</v>
      </c>
      <c r="T102" s="36"/>
      <c r="X102" s="4"/>
      <c r="Y102" s="37">
        <v>0</v>
      </c>
      <c r="Z102" s="4"/>
      <c r="AC102" s="35"/>
      <c r="AD102" s="4"/>
      <c r="AE102" s="4"/>
      <c r="AF102" s="4"/>
      <c r="AG102" s="4"/>
      <c r="AH102" s="4"/>
      <c r="AI102" s="31"/>
      <c r="AJ102" s="30"/>
    </row>
    <row r="103" spans="1:36" x14ac:dyDescent="0.25">
      <c r="A103">
        <v>1</v>
      </c>
      <c r="B103">
        <v>159</v>
      </c>
      <c r="C103">
        <v>6</v>
      </c>
      <c r="D103">
        <v>394</v>
      </c>
      <c r="E103">
        <v>200</v>
      </c>
      <c r="F103">
        <v>37.700000000000003</v>
      </c>
      <c r="G103" s="7">
        <f t="shared" si="143"/>
        <v>34.705438883544772</v>
      </c>
      <c r="H103">
        <v>2135</v>
      </c>
      <c r="I103" s="7">
        <f t="shared" ref="I103:I105" si="182">(H103/B103)</f>
        <v>13.427672955974844</v>
      </c>
      <c r="J103" s="31">
        <f t="shared" ref="J103:J105" si="183">SQRT((64*AC103*H103*H103)/(PI()^3*((B103^4-(B103-2*C103)^4)*E103+(B103-2*C103)^4*G103*0.8/1.35)))</f>
        <v>0.61599721273610841</v>
      </c>
      <c r="K103" s="32">
        <f t="shared" ref="K103:K105" si="184">B103/C103</f>
        <v>26.5</v>
      </c>
      <c r="L103" s="33">
        <f t="shared" ref="L103:L105" si="185">K103/(90*235/D103)</f>
        <v>0.49366430260047278</v>
      </c>
      <c r="M103">
        <v>1414</v>
      </c>
      <c r="N103" s="4">
        <f t="shared" si="167"/>
        <v>1680</v>
      </c>
      <c r="O103" s="4">
        <f t="shared" si="168"/>
        <v>2181</v>
      </c>
      <c r="P103" s="34">
        <f t="shared" si="169"/>
        <v>1776.1208480768503</v>
      </c>
      <c r="Q103" s="35">
        <f t="shared" si="170"/>
        <v>1776.1208480768503</v>
      </c>
      <c r="R103" s="35">
        <f t="shared" si="171"/>
        <v>1569.7866897896467</v>
      </c>
      <c r="S103" s="30">
        <f t="shared" si="172"/>
        <v>0.90075932558039318</v>
      </c>
      <c r="T103" s="36">
        <f t="shared" si="173"/>
        <v>0.63975879304189887</v>
      </c>
      <c r="X103" s="4">
        <v>290</v>
      </c>
      <c r="Y103" s="37">
        <v>0</v>
      </c>
      <c r="Z103" s="4">
        <v>4</v>
      </c>
      <c r="AC103" s="35">
        <f t="shared" si="174"/>
        <v>1776.1208480768503</v>
      </c>
      <c r="AD103" s="4">
        <f t="shared" si="175"/>
        <v>0.61515938643104717</v>
      </c>
      <c r="AE103" s="4">
        <f t="shared" si="176"/>
        <v>0</v>
      </c>
      <c r="AF103" s="4">
        <f t="shared" si="177"/>
        <v>1</v>
      </c>
      <c r="AG103" s="4">
        <f t="shared" si="178"/>
        <v>0</v>
      </c>
      <c r="AH103" s="4">
        <f t="shared" si="179"/>
        <v>1</v>
      </c>
      <c r="AI103" s="31">
        <f t="shared" si="180"/>
        <v>0.88382876170243807</v>
      </c>
      <c r="AJ103" s="30">
        <f t="shared" si="181"/>
        <v>0</v>
      </c>
    </row>
    <row r="104" spans="1:36" x14ac:dyDescent="0.25">
      <c r="A104">
        <v>13</v>
      </c>
      <c r="B104">
        <v>159</v>
      </c>
      <c r="C104">
        <v>6</v>
      </c>
      <c r="D104">
        <v>457</v>
      </c>
      <c r="E104">
        <v>200</v>
      </c>
      <c r="F104">
        <v>120.1</v>
      </c>
      <c r="G104" s="7">
        <f t="shared" si="143"/>
        <v>47.281083435176782</v>
      </c>
      <c r="H104">
        <v>2135</v>
      </c>
      <c r="I104" s="7">
        <f t="shared" si="182"/>
        <v>13.427672955974844</v>
      </c>
      <c r="J104" s="31">
        <f t="shared" si="183"/>
        <v>0.81518743254380999</v>
      </c>
      <c r="K104" s="32">
        <f t="shared" si="184"/>
        <v>26.5</v>
      </c>
      <c r="L104" s="33">
        <f t="shared" si="185"/>
        <v>0.57260047281323878</v>
      </c>
      <c r="M104">
        <v>2792</v>
      </c>
      <c r="N104" s="4">
        <f t="shared" si="167"/>
        <v>3051</v>
      </c>
      <c r="O104" s="4">
        <f t="shared" si="168"/>
        <v>3632</v>
      </c>
      <c r="P104" s="34">
        <f t="shared" si="169"/>
        <v>3356.2772360238528</v>
      </c>
      <c r="Q104" s="35">
        <f t="shared" si="170"/>
        <v>3356.2772360238528</v>
      </c>
      <c r="R104" s="35">
        <f t="shared" si="171"/>
        <v>2641.0852258212526</v>
      </c>
      <c r="S104" s="30">
        <f t="shared" si="172"/>
        <v>1.057141198134498</v>
      </c>
      <c r="T104" s="36">
        <f t="shared" si="173"/>
        <v>0.39269098078182263</v>
      </c>
      <c r="X104" s="4">
        <v>290</v>
      </c>
      <c r="Y104" s="37">
        <v>0</v>
      </c>
      <c r="Z104" s="4">
        <v>4</v>
      </c>
      <c r="AC104" s="35">
        <f t="shared" si="174"/>
        <v>3356.2772360238528</v>
      </c>
      <c r="AD104" s="4">
        <f t="shared" si="175"/>
        <v>0.8137882890425111</v>
      </c>
      <c r="AE104" s="4">
        <f t="shared" si="176"/>
        <v>0</v>
      </c>
      <c r="AF104" s="4">
        <f t="shared" si="177"/>
        <v>1</v>
      </c>
      <c r="AG104" s="4">
        <f t="shared" si="178"/>
        <v>0</v>
      </c>
      <c r="AH104" s="4">
        <f t="shared" si="179"/>
        <v>1</v>
      </c>
      <c r="AI104" s="31">
        <f t="shared" si="180"/>
        <v>0.78690913774158866</v>
      </c>
      <c r="AJ104" s="30">
        <f t="shared" si="181"/>
        <v>1.1031901022200845</v>
      </c>
    </row>
    <row r="105" spans="1:36" x14ac:dyDescent="0.25">
      <c r="A105">
        <v>14</v>
      </c>
      <c r="B105">
        <v>159</v>
      </c>
      <c r="C105">
        <v>6</v>
      </c>
      <c r="D105">
        <v>487</v>
      </c>
      <c r="E105">
        <v>200</v>
      </c>
      <c r="F105">
        <v>116</v>
      </c>
      <c r="G105" s="7">
        <f t="shared" si="143"/>
        <v>46.821916525976064</v>
      </c>
      <c r="H105">
        <v>2135</v>
      </c>
      <c r="I105" s="7">
        <f t="shared" si="182"/>
        <v>13.427672955974844</v>
      </c>
      <c r="J105" s="31">
        <f t="shared" si="183"/>
        <v>0.81833630516753297</v>
      </c>
      <c r="K105" s="32">
        <f t="shared" si="184"/>
        <v>26.5</v>
      </c>
      <c r="L105" s="33">
        <f t="shared" si="185"/>
        <v>0.61018912529550828</v>
      </c>
      <c r="M105">
        <v>2193</v>
      </c>
      <c r="N105" s="4">
        <f t="shared" si="167"/>
        <v>3078</v>
      </c>
      <c r="O105" s="4">
        <f t="shared" si="168"/>
        <v>3698</v>
      </c>
      <c r="P105" s="34">
        <f t="shared" si="169"/>
        <v>3373.2128551610081</v>
      </c>
      <c r="Q105" s="35">
        <f t="shared" si="170"/>
        <v>3373.2128551610081</v>
      </c>
      <c r="R105" s="35">
        <f t="shared" si="171"/>
        <v>2648.1658845539437</v>
      </c>
      <c r="S105" s="30">
        <f t="shared" si="172"/>
        <v>0.82812032765439403</v>
      </c>
      <c r="T105" s="36">
        <f t="shared" si="173"/>
        <v>0.41636840649438822</v>
      </c>
      <c r="X105" s="4">
        <v>290</v>
      </c>
      <c r="Y105" s="37">
        <v>0</v>
      </c>
      <c r="Z105" s="4">
        <v>4</v>
      </c>
      <c r="AC105" s="35">
        <f t="shared" si="174"/>
        <v>3373.2128551610081</v>
      </c>
      <c r="AD105" s="4">
        <f t="shared" si="175"/>
        <v>0.81694164299411542</v>
      </c>
      <c r="AE105" s="4">
        <f t="shared" si="176"/>
        <v>0</v>
      </c>
      <c r="AF105" s="4">
        <f t="shared" si="177"/>
        <v>1</v>
      </c>
      <c r="AG105" s="4">
        <f t="shared" si="178"/>
        <v>0</v>
      </c>
      <c r="AH105" s="4">
        <f t="shared" si="179"/>
        <v>1</v>
      </c>
      <c r="AI105" s="31">
        <f t="shared" si="180"/>
        <v>0.78505745064449628</v>
      </c>
      <c r="AJ105" s="30">
        <f t="shared" si="181"/>
        <v>1.1322716215935866</v>
      </c>
    </row>
    <row r="106" spans="1:36" x14ac:dyDescent="0.25">
      <c r="A106" s="40" t="s">
        <v>172</v>
      </c>
      <c r="B106" s="40">
        <v>2001</v>
      </c>
      <c r="C106" s="40" t="s">
        <v>182</v>
      </c>
      <c r="G106" s="7"/>
      <c r="I106" s="7"/>
      <c r="J106" s="31"/>
      <c r="K106" s="32"/>
      <c r="L106" s="33"/>
      <c r="N106" s="4"/>
      <c r="O106" s="4"/>
      <c r="P106" s="34"/>
      <c r="Q106" s="35"/>
      <c r="R106" s="42" t="s">
        <v>166</v>
      </c>
      <c r="S106" s="45">
        <f>AVERAGE(S103:S105)</f>
        <v>0.92867361712309504</v>
      </c>
      <c r="T106" s="36"/>
      <c r="X106" s="4"/>
      <c r="Y106" s="37">
        <v>0</v>
      </c>
      <c r="Z106" s="4"/>
      <c r="AC106" s="35"/>
      <c r="AD106" s="4"/>
      <c r="AE106" s="4"/>
      <c r="AF106" s="4"/>
      <c r="AG106" s="4"/>
      <c r="AH106" s="4"/>
      <c r="AI106" s="31"/>
      <c r="AJ106" s="30"/>
    </row>
    <row r="107" spans="1:36" x14ac:dyDescent="0.25">
      <c r="A107" t="s">
        <v>173</v>
      </c>
      <c r="B107">
        <v>114.3</v>
      </c>
      <c r="C107">
        <v>5.9</v>
      </c>
      <c r="D107">
        <v>355</v>
      </c>
      <c r="E107">
        <v>200</v>
      </c>
      <c r="F107">
        <v>107.2</v>
      </c>
      <c r="G107" s="7">
        <f t="shared" si="143"/>
        <v>45.799256159927737</v>
      </c>
      <c r="H107">
        <v>600</v>
      </c>
      <c r="I107" s="7">
        <f t="shared" ref="I107" si="186">(H107/B107)</f>
        <v>5.2493438320209975</v>
      </c>
      <c r="J107" s="31">
        <f t="shared" ref="J107" si="187">SQRT((64*AC107*H107*H107)/(PI()^3*((B107^4-(B107-2*C107)^4)*E107+(B107-2*C107)^4*G107*0.8/1.35)))</f>
        <v>0.28082375597782133</v>
      </c>
      <c r="K107" s="32">
        <f t="shared" ref="K107" si="188">B107/C107</f>
        <v>19.372881355932201</v>
      </c>
      <c r="L107" s="33">
        <f t="shared" ref="L107" si="189">K107/(90*235/D107)</f>
        <v>0.32517129462675798</v>
      </c>
      <c r="M107">
        <v>1990</v>
      </c>
      <c r="N107" s="4">
        <f t="shared" ref="N107" si="190">ROUND((0.85*F107*(B107-2*C107)^2+D107*(B107*B107-(B107-2*C107)^2))*PI()/4000,0)</f>
        <v>1465</v>
      </c>
      <c r="O107" s="4">
        <f t="shared" ref="O107" si="191">ROUND((0.85*F107+6*C107*D107/(B107-2*C107))*PI()*(B107-2*C107)^2/4000,0)</f>
        <v>1764</v>
      </c>
      <c r="P107" s="34">
        <f t="shared" ref="P107" si="192">PI()*((B107*B107-(B107-2*C107)^2)*D107+(B107-2*C107)^2*F107)/4000</f>
        <v>1597.8495236127544</v>
      </c>
      <c r="Q107" s="35">
        <f t="shared" ref="Q107" si="193">0.00025*PI()*((B107*B107-(B107-2*C107)^2)*D107*AH107+F107*(B107-2*C107)^2*(1+AG107*C107*D107/(B107*F107)))</f>
        <v>1678.1043370763446</v>
      </c>
      <c r="R107" s="35">
        <f t="shared" ref="R107" si="194">AI107*Q107</f>
        <v>1647.7888877547841</v>
      </c>
      <c r="S107" s="30">
        <f t="shared" ref="S107" si="195">M107/R107</f>
        <v>1.2076789780464534</v>
      </c>
      <c r="T107" s="36">
        <f t="shared" ref="T107" si="196">(PI()*(B107-C107)*C107*D107)/(1000*P107)</f>
        <v>0.44639944098764617</v>
      </c>
      <c r="X107" s="4">
        <v>290</v>
      </c>
      <c r="Y107" s="37">
        <v>0</v>
      </c>
      <c r="Z107" s="4">
        <v>4</v>
      </c>
      <c r="AC107" s="35">
        <f t="shared" ref="AC107" si="197">0.00025*PI()*((B107*B107-(B107-2*C107)^2)*D107+F107*(B107-2*C107)^2)</f>
        <v>1597.8495236127544</v>
      </c>
      <c r="AD107" s="4">
        <f t="shared" ref="AD107" si="198">SQRT((64*AC107*H107*H107)/(PI()^3*((B107^4-(B107-2*C107)^4)*E107+(B107-2*C107)^4*G107*0.6)))</f>
        <v>0.28047516696667057</v>
      </c>
      <c r="AE107" s="4">
        <f t="shared" ref="AE107" si="199">IF(AD107&gt;0.5,0,AJ107)</f>
        <v>1.0485368389612839</v>
      </c>
      <c r="AF107" s="4">
        <f t="shared" ref="AF107" si="200">IF((0.25*(3+2*AD107))&gt;1,1,(0.25*(3+2*AD107)))</f>
        <v>0.89023758348333526</v>
      </c>
      <c r="AG107" s="4">
        <f t="shared" ref="AG107" si="201">AE107</f>
        <v>1.0485368389612839</v>
      </c>
      <c r="AH107" s="4">
        <f t="shared" ref="AH107" si="202">AF107</f>
        <v>0.89023758348333526</v>
      </c>
      <c r="AI107" s="31">
        <f t="shared" ref="AI107" si="203">IF(J107&lt;0.2,1,1/(0.5*(1+0.21*(J107-0.2)+J107*J107)+SQRT((0.5*(1+0.21*(J107-0.2)+J107*J107))^2-J107*J107)))</f>
        <v>0.98193470533877703</v>
      </c>
      <c r="AJ107" s="30">
        <f t="shared" ref="AJ107" si="204">IF((4.9-18.5*AD107+17*AD107*AD107)&lt;0,0,(4.9-18.5*AD107+17*AD107*AD107))</f>
        <v>1.0485368389612839</v>
      </c>
    </row>
    <row r="108" spans="1:36" x14ac:dyDescent="0.25">
      <c r="Q108" s="40"/>
      <c r="R108" s="40"/>
      <c r="S108" s="46"/>
    </row>
    <row r="109" spans="1:36" x14ac:dyDescent="0.25">
      <c r="Q109" s="40" t="s">
        <v>167</v>
      </c>
      <c r="R109" s="40" t="s">
        <v>175</v>
      </c>
      <c r="S109" s="46">
        <f>(S34*24+S41*6+S42+S50*6+S56*5+S63*6+S66*2+S91*24+S94*2+S102*7+S106*3+S107)/87</f>
        <v>1.0946490597786949</v>
      </c>
    </row>
  </sheetData>
  <mergeCells count="3">
    <mergeCell ref="J4:M4"/>
    <mergeCell ref="A1:F1"/>
    <mergeCell ref="C3:H3"/>
  </mergeCells>
  <pageMargins left="0.7" right="0.7" top="0.75" bottom="0.75" header="0.3" footer="0.3"/>
  <pageSetup paperSize="9" scale="60" orientation="landscape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2018-02-28T11:48:51Z</cp:lastPrinted>
  <dcterms:created xsi:type="dcterms:W3CDTF">2017-10-24T13:55:03Z</dcterms:created>
  <dcterms:modified xsi:type="dcterms:W3CDTF">2018-04-13T13:52:49Z</dcterms:modified>
</cp:coreProperties>
</file>