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C4B\"/>
    </mc:Choice>
  </mc:AlternateContent>
  <xr:revisionPtr revIDLastSave="0" documentId="8_{B5781DE4-159A-4835-8A51-3842313C8501}" xr6:coauthVersionLast="40" xr6:coauthVersionMax="40" xr10:uidLastSave="{00000000-0000-0000-0000-000000000000}"/>
  <bookViews>
    <workbookView xWindow="225" yWindow="75" windowWidth="11340" windowHeight="6045" xr2:uid="{00000000-000D-0000-FFFF-FFFF00000000}"/>
  </bookViews>
  <sheets>
    <sheet name="Data" sheetId="1" r:id="rId1"/>
    <sheet name="Summary" sheetId="2" r:id="rId2"/>
    <sheet name="Test v EC4" sheetId="4" r:id="rId3"/>
    <sheet name="v fcyl" sheetId="5" r:id="rId4"/>
    <sheet name="from old a)" sheetId="3" r:id="rId5"/>
  </sheets>
  <externalReferences>
    <externalReference r:id="rId6"/>
  </externalReferences>
  <definedNames>
    <definedName name="_xlnm.Print_Area" localSheetId="1">Summary!$A$1:$K$127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" i="1" l="1"/>
  <c r="W9" i="1"/>
  <c r="W10" i="1"/>
  <c r="W11" i="1"/>
  <c r="X11" i="1"/>
  <c r="M11" i="1"/>
  <c r="G11" i="1"/>
  <c r="H11" i="1"/>
  <c r="Y11" i="1"/>
  <c r="Z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X27" i="1"/>
  <c r="M27" i="1"/>
  <c r="V27" i="1"/>
  <c r="W28" i="1"/>
  <c r="W29" i="1"/>
  <c r="W30" i="1"/>
  <c r="W31" i="1"/>
  <c r="W32" i="1"/>
  <c r="W33" i="1"/>
  <c r="W34" i="1"/>
  <c r="W35" i="1"/>
  <c r="W36" i="1"/>
  <c r="W37" i="1"/>
  <c r="W38" i="1"/>
  <c r="W39" i="1"/>
  <c r="X39" i="1"/>
  <c r="K39" i="1"/>
  <c r="Q39" i="1"/>
  <c r="H38" i="2"/>
  <c r="W40" i="1"/>
  <c r="W41" i="1"/>
  <c r="W42" i="1"/>
  <c r="W43" i="1"/>
  <c r="N43" i="1"/>
  <c r="S43" i="1"/>
  <c r="J42" i="2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N59" i="1"/>
  <c r="S59" i="1"/>
  <c r="J59" i="2"/>
  <c r="W60" i="1"/>
  <c r="W61" i="1"/>
  <c r="W62" i="1"/>
  <c r="W63" i="1"/>
  <c r="W64" i="1"/>
  <c r="W65" i="1"/>
  <c r="W66" i="1"/>
  <c r="W67" i="1"/>
  <c r="W68" i="1"/>
  <c r="W69" i="1"/>
  <c r="W70" i="1"/>
  <c r="W71" i="1"/>
  <c r="N71" i="1"/>
  <c r="S71" i="1"/>
  <c r="J71" i="2"/>
  <c r="W72" i="1"/>
  <c r="W73" i="1"/>
  <c r="W74" i="1"/>
  <c r="W75" i="1"/>
  <c r="X75" i="1"/>
  <c r="K75" i="1"/>
  <c r="Q75" i="1"/>
  <c r="H75" i="2"/>
  <c r="W76" i="1"/>
  <c r="W77" i="1"/>
  <c r="W78" i="1"/>
  <c r="W79" i="1"/>
  <c r="X79" i="1"/>
  <c r="K79" i="1"/>
  <c r="Q79" i="1"/>
  <c r="H79" i="2"/>
  <c r="W80" i="1"/>
  <c r="W81" i="1"/>
  <c r="W82" i="1"/>
  <c r="W83" i="1"/>
  <c r="N83" i="1"/>
  <c r="S83" i="1"/>
  <c r="J83" i="2"/>
  <c r="W84" i="1"/>
  <c r="W85" i="1"/>
  <c r="W86" i="1"/>
  <c r="W87" i="1"/>
  <c r="X87" i="1"/>
  <c r="K87" i="1"/>
  <c r="Q87" i="1"/>
  <c r="H88" i="2"/>
  <c r="W88" i="1"/>
  <c r="W89" i="1"/>
  <c r="W90" i="1"/>
  <c r="W91" i="1"/>
  <c r="X91" i="1"/>
  <c r="M91" i="1"/>
  <c r="W92" i="1"/>
  <c r="W93" i="1"/>
  <c r="W94" i="1"/>
  <c r="W95" i="1"/>
  <c r="X95" i="1"/>
  <c r="M95" i="1"/>
  <c r="W96" i="1"/>
  <c r="W97" i="1"/>
  <c r="W98" i="1"/>
  <c r="W99" i="1"/>
  <c r="N99" i="1"/>
  <c r="S99" i="1"/>
  <c r="J100" i="2"/>
  <c r="W100" i="1"/>
  <c r="W101" i="1"/>
  <c r="W102" i="1"/>
  <c r="W103" i="1"/>
  <c r="X103" i="1"/>
  <c r="M103" i="1"/>
  <c r="W104" i="1"/>
  <c r="W105" i="1"/>
  <c r="W106" i="1"/>
  <c r="W107" i="1"/>
  <c r="X107" i="1"/>
  <c r="K107" i="1"/>
  <c r="Q107" i="1"/>
  <c r="H108" i="2"/>
  <c r="W108" i="1"/>
  <c r="W109" i="1"/>
  <c r="W110" i="1"/>
  <c r="W111" i="1"/>
  <c r="X111" i="1"/>
  <c r="M111" i="1"/>
  <c r="W112" i="1"/>
  <c r="W113" i="1"/>
  <c r="W114" i="1"/>
  <c r="W115" i="1"/>
  <c r="X115" i="1"/>
  <c r="K115" i="1"/>
  <c r="Q115" i="1"/>
  <c r="H116" i="2"/>
  <c r="W116" i="1"/>
  <c r="W117" i="1"/>
  <c r="W118" i="1"/>
  <c r="W119" i="1"/>
  <c r="N119" i="1"/>
  <c r="S119" i="1"/>
  <c r="J120" i="2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N139" i="1"/>
  <c r="S139" i="1"/>
  <c r="J143" i="2"/>
  <c r="W140" i="1"/>
  <c r="W141" i="1"/>
  <c r="W142" i="1"/>
  <c r="W143" i="1"/>
  <c r="N143" i="1"/>
  <c r="S143" i="1"/>
  <c r="J147" i="2"/>
  <c r="W7" i="1"/>
  <c r="P135" i="1"/>
  <c r="G7" i="1"/>
  <c r="H7" i="1"/>
  <c r="L7" i="1"/>
  <c r="X7" i="1"/>
  <c r="M7" i="1"/>
  <c r="Y7" i="1"/>
  <c r="Z7" i="1"/>
  <c r="G8" i="1"/>
  <c r="H8" i="1"/>
  <c r="L8" i="1"/>
  <c r="X8" i="1"/>
  <c r="G9" i="1"/>
  <c r="H9" i="1"/>
  <c r="L9" i="1"/>
  <c r="X9" i="1"/>
  <c r="M9" i="1"/>
  <c r="Y9" i="1"/>
  <c r="Z9" i="1"/>
  <c r="G10" i="1"/>
  <c r="H10" i="1"/>
  <c r="L10" i="1"/>
  <c r="X10" i="1"/>
  <c r="L11" i="1"/>
  <c r="G12" i="1"/>
  <c r="H12" i="1"/>
  <c r="L12" i="1"/>
  <c r="X12" i="1"/>
  <c r="G13" i="1"/>
  <c r="H13" i="1"/>
  <c r="L13" i="1"/>
  <c r="X13" i="1"/>
  <c r="M13" i="1"/>
  <c r="Y13" i="1"/>
  <c r="Z13" i="1"/>
  <c r="G14" i="1"/>
  <c r="H14" i="1"/>
  <c r="L14" i="1"/>
  <c r="X14" i="1"/>
  <c r="G15" i="1"/>
  <c r="H15" i="1"/>
  <c r="L15" i="1"/>
  <c r="X15" i="1"/>
  <c r="G16" i="1"/>
  <c r="H16" i="1"/>
  <c r="L16" i="1"/>
  <c r="X16" i="1"/>
  <c r="G17" i="1"/>
  <c r="H17" i="1"/>
  <c r="L17" i="1"/>
  <c r="X17" i="1"/>
  <c r="G18" i="1"/>
  <c r="H18" i="1"/>
  <c r="L18" i="1"/>
  <c r="X18" i="1"/>
  <c r="G19" i="1"/>
  <c r="H19" i="1"/>
  <c r="L19" i="1"/>
  <c r="X19" i="1"/>
  <c r="G20" i="1"/>
  <c r="H20" i="1"/>
  <c r="L20" i="1"/>
  <c r="X20" i="1"/>
  <c r="G21" i="1"/>
  <c r="H21" i="1"/>
  <c r="L21" i="1"/>
  <c r="X21" i="1"/>
  <c r="G24" i="1"/>
  <c r="H24" i="1"/>
  <c r="L24" i="1"/>
  <c r="X24" i="1"/>
  <c r="G25" i="1"/>
  <c r="H25" i="1"/>
  <c r="L25" i="1"/>
  <c r="X25" i="1"/>
  <c r="G26" i="1"/>
  <c r="H26" i="1"/>
  <c r="L26" i="1"/>
  <c r="X26" i="1"/>
  <c r="G27" i="1"/>
  <c r="H27" i="1"/>
  <c r="L27" i="1"/>
  <c r="G28" i="1"/>
  <c r="H28" i="1"/>
  <c r="L28" i="1"/>
  <c r="X28" i="1"/>
  <c r="G29" i="1"/>
  <c r="H29" i="1"/>
  <c r="X29" i="1"/>
  <c r="K29" i="1"/>
  <c r="Q29" i="1"/>
  <c r="H28" i="2"/>
  <c r="L29" i="1"/>
  <c r="N29" i="1"/>
  <c r="S29" i="1"/>
  <c r="J28" i="2"/>
  <c r="M29" i="1"/>
  <c r="G30" i="1"/>
  <c r="H30" i="1"/>
  <c r="L30" i="1"/>
  <c r="N30" i="1"/>
  <c r="S30" i="1"/>
  <c r="X30" i="1"/>
  <c r="G31" i="1"/>
  <c r="H31" i="1"/>
  <c r="L31" i="1"/>
  <c r="X31" i="1"/>
  <c r="G34" i="1"/>
  <c r="H34" i="1"/>
  <c r="L34" i="1"/>
  <c r="X34" i="1"/>
  <c r="G35" i="1"/>
  <c r="H35" i="1"/>
  <c r="L35" i="1"/>
  <c r="X35" i="1"/>
  <c r="M35" i="1"/>
  <c r="G36" i="1"/>
  <c r="H36" i="1"/>
  <c r="X36" i="1"/>
  <c r="K36" i="1"/>
  <c r="Q36" i="1"/>
  <c r="L36" i="1"/>
  <c r="G37" i="1"/>
  <c r="H37" i="1"/>
  <c r="L37" i="1"/>
  <c r="X37" i="1"/>
  <c r="G38" i="1"/>
  <c r="H38" i="1"/>
  <c r="L38" i="1"/>
  <c r="X38" i="1"/>
  <c r="G39" i="1"/>
  <c r="H39" i="1"/>
  <c r="L39" i="1"/>
  <c r="G40" i="1"/>
  <c r="H40" i="1"/>
  <c r="L40" i="1"/>
  <c r="X40" i="1"/>
  <c r="G41" i="1"/>
  <c r="H41" i="1"/>
  <c r="L41" i="1"/>
  <c r="X41" i="1"/>
  <c r="G42" i="1"/>
  <c r="H42" i="1"/>
  <c r="L42" i="1"/>
  <c r="X42" i="1"/>
  <c r="G43" i="1"/>
  <c r="H43" i="1"/>
  <c r="L43" i="1"/>
  <c r="X43" i="1"/>
  <c r="G44" i="1"/>
  <c r="H44" i="1"/>
  <c r="X44" i="1"/>
  <c r="M44" i="1"/>
  <c r="L44" i="1"/>
  <c r="G45" i="1"/>
  <c r="H45" i="1"/>
  <c r="L45" i="1"/>
  <c r="X45" i="1"/>
  <c r="G48" i="1"/>
  <c r="H48" i="1"/>
  <c r="L48" i="1"/>
  <c r="X48" i="1"/>
  <c r="M48" i="1"/>
  <c r="Y48" i="1"/>
  <c r="Z48" i="1"/>
  <c r="G49" i="1"/>
  <c r="H49" i="1"/>
  <c r="L49" i="1"/>
  <c r="X49" i="1"/>
  <c r="G50" i="1"/>
  <c r="H50" i="1"/>
  <c r="X50" i="1"/>
  <c r="K50" i="1"/>
  <c r="Q50" i="1"/>
  <c r="L50" i="1"/>
  <c r="M50" i="1"/>
  <c r="Y50" i="1"/>
  <c r="Z50" i="1"/>
  <c r="G51" i="1"/>
  <c r="H51" i="1"/>
  <c r="X51" i="1"/>
  <c r="M51" i="1"/>
  <c r="L51" i="1"/>
  <c r="G52" i="1"/>
  <c r="H52" i="1"/>
  <c r="L52" i="1"/>
  <c r="X52" i="1"/>
  <c r="M52" i="1"/>
  <c r="Y52" i="1"/>
  <c r="Z52" i="1"/>
  <c r="G53" i="1"/>
  <c r="H53" i="1"/>
  <c r="L53" i="1"/>
  <c r="X53" i="1"/>
  <c r="G54" i="1"/>
  <c r="H54" i="1"/>
  <c r="X54" i="1"/>
  <c r="K54" i="1"/>
  <c r="Q54" i="1"/>
  <c r="L54" i="1"/>
  <c r="M54" i="1"/>
  <c r="Y54" i="1"/>
  <c r="Z54" i="1"/>
  <c r="G55" i="1"/>
  <c r="H55" i="1"/>
  <c r="X55" i="1"/>
  <c r="M55" i="1"/>
  <c r="L55" i="1"/>
  <c r="G56" i="1"/>
  <c r="H56" i="1"/>
  <c r="L56" i="1"/>
  <c r="X56" i="1"/>
  <c r="M56" i="1"/>
  <c r="Y56" i="1"/>
  <c r="Z56" i="1"/>
  <c r="G57" i="1"/>
  <c r="H57" i="1"/>
  <c r="L57" i="1"/>
  <c r="X57" i="1"/>
  <c r="G58" i="1"/>
  <c r="H58" i="1"/>
  <c r="X58" i="1"/>
  <c r="K58" i="1"/>
  <c r="Q58" i="1"/>
  <c r="L58" i="1"/>
  <c r="N58" i="1"/>
  <c r="S58" i="1"/>
  <c r="J58" i="2"/>
  <c r="M58" i="1"/>
  <c r="V58" i="1"/>
  <c r="G59" i="1"/>
  <c r="H59" i="1"/>
  <c r="L59" i="1"/>
  <c r="X59" i="1"/>
  <c r="G60" i="1"/>
  <c r="H60" i="1"/>
  <c r="L60" i="1"/>
  <c r="X60" i="1"/>
  <c r="G61" i="1"/>
  <c r="H61" i="1"/>
  <c r="L61" i="1"/>
  <c r="N61" i="1"/>
  <c r="S61" i="1"/>
  <c r="X61" i="1"/>
  <c r="G62" i="1"/>
  <c r="H62" i="1"/>
  <c r="X62" i="1"/>
  <c r="M62" i="1"/>
  <c r="L62" i="1"/>
  <c r="G63" i="1"/>
  <c r="H63" i="1"/>
  <c r="L63" i="1"/>
  <c r="X63" i="1"/>
  <c r="G64" i="1"/>
  <c r="H64" i="1"/>
  <c r="L64" i="1"/>
  <c r="X64" i="1"/>
  <c r="M64" i="1"/>
  <c r="R64" i="1"/>
  <c r="I64" i="2"/>
  <c r="G65" i="1"/>
  <c r="H65" i="1"/>
  <c r="L65" i="1"/>
  <c r="X65" i="1"/>
  <c r="G66" i="1"/>
  <c r="H66" i="1"/>
  <c r="X66" i="1"/>
  <c r="M66" i="1"/>
  <c r="L66" i="1"/>
  <c r="G67" i="1"/>
  <c r="H67" i="1"/>
  <c r="L67" i="1"/>
  <c r="X67" i="1"/>
  <c r="G68" i="1"/>
  <c r="H68" i="1"/>
  <c r="L68" i="1"/>
  <c r="X68" i="1"/>
  <c r="M68" i="1"/>
  <c r="R68" i="1"/>
  <c r="Y68" i="1"/>
  <c r="AC68" i="1"/>
  <c r="G69" i="1"/>
  <c r="H69" i="1"/>
  <c r="L69" i="1"/>
  <c r="X69" i="1"/>
  <c r="G70" i="1"/>
  <c r="H70" i="1"/>
  <c r="X70" i="1"/>
  <c r="M70" i="1"/>
  <c r="L70" i="1"/>
  <c r="G71" i="1"/>
  <c r="H71" i="1"/>
  <c r="L71" i="1"/>
  <c r="X71" i="1"/>
  <c r="G72" i="1"/>
  <c r="H72" i="1"/>
  <c r="X72" i="1"/>
  <c r="M72" i="1"/>
  <c r="L72" i="1"/>
  <c r="G73" i="1"/>
  <c r="H73" i="1"/>
  <c r="L73" i="1"/>
  <c r="N73" i="1"/>
  <c r="S73" i="1"/>
  <c r="J73" i="2"/>
  <c r="X73" i="1"/>
  <c r="M73" i="1"/>
  <c r="Y73" i="1"/>
  <c r="Z73" i="1"/>
  <c r="AA73" i="1"/>
  <c r="G74" i="1"/>
  <c r="H74" i="1"/>
  <c r="L74" i="1"/>
  <c r="X74" i="1"/>
  <c r="G75" i="1"/>
  <c r="H75" i="1"/>
  <c r="L75" i="1"/>
  <c r="N75" i="1"/>
  <c r="S75" i="1"/>
  <c r="J75" i="2"/>
  <c r="M75" i="1"/>
  <c r="Y75" i="1"/>
  <c r="Z75" i="1"/>
  <c r="G76" i="1"/>
  <c r="H76" i="1"/>
  <c r="X76" i="1"/>
  <c r="M76" i="1"/>
  <c r="L76" i="1"/>
  <c r="G77" i="1"/>
  <c r="H77" i="1"/>
  <c r="L77" i="1"/>
  <c r="N77" i="1"/>
  <c r="S77" i="1"/>
  <c r="X77" i="1"/>
  <c r="M77" i="1"/>
  <c r="V77" i="1"/>
  <c r="Y77" i="1"/>
  <c r="Z77" i="1"/>
  <c r="G78" i="1"/>
  <c r="H78" i="1"/>
  <c r="L78" i="1"/>
  <c r="X78" i="1"/>
  <c r="G79" i="1"/>
  <c r="H79" i="1"/>
  <c r="L79" i="1"/>
  <c r="G80" i="1"/>
  <c r="H80" i="1"/>
  <c r="L80" i="1"/>
  <c r="X80" i="1"/>
  <c r="G81" i="1"/>
  <c r="H81" i="1"/>
  <c r="L81" i="1"/>
  <c r="N81" i="1"/>
  <c r="S81" i="1"/>
  <c r="X81" i="1"/>
  <c r="M81" i="1"/>
  <c r="V81" i="1"/>
  <c r="Y81" i="1"/>
  <c r="Z81" i="1"/>
  <c r="AA81" i="1"/>
  <c r="O81" i="1"/>
  <c r="T81" i="1"/>
  <c r="G82" i="1"/>
  <c r="H82" i="1"/>
  <c r="L82" i="1"/>
  <c r="X82" i="1"/>
  <c r="M82" i="1"/>
  <c r="G83" i="1"/>
  <c r="H83" i="1"/>
  <c r="X83" i="1"/>
  <c r="K83" i="1"/>
  <c r="Q83" i="1"/>
  <c r="H83" i="2"/>
  <c r="L83" i="1"/>
  <c r="M83" i="1"/>
  <c r="Y83" i="1"/>
  <c r="F86" i="1"/>
  <c r="G86" i="1"/>
  <c r="H86" i="1"/>
  <c r="L86" i="1"/>
  <c r="X86" i="1"/>
  <c r="F87" i="1"/>
  <c r="G87" i="1"/>
  <c r="H87" i="1"/>
  <c r="L87" i="1"/>
  <c r="F88" i="1"/>
  <c r="G88" i="1"/>
  <c r="H88" i="1"/>
  <c r="L88" i="1"/>
  <c r="X88" i="1"/>
  <c r="F89" i="1"/>
  <c r="L89" i="1"/>
  <c r="G89" i="1"/>
  <c r="H89" i="1"/>
  <c r="X89" i="1"/>
  <c r="K89" i="1"/>
  <c r="Q89" i="1"/>
  <c r="H90" i="2"/>
  <c r="F90" i="1"/>
  <c r="G90" i="1"/>
  <c r="H90" i="1"/>
  <c r="X90" i="1"/>
  <c r="K90" i="1"/>
  <c r="L90" i="1"/>
  <c r="M90" i="1"/>
  <c r="Y90" i="1"/>
  <c r="Z90" i="1"/>
  <c r="N90" i="1"/>
  <c r="S90" i="1"/>
  <c r="Q90" i="1"/>
  <c r="R90" i="1"/>
  <c r="I91" i="2"/>
  <c r="V90" i="1"/>
  <c r="F91" i="1"/>
  <c r="L91" i="1"/>
  <c r="G91" i="1"/>
  <c r="H91" i="1"/>
  <c r="N91" i="1"/>
  <c r="S91" i="1"/>
  <c r="J92" i="2"/>
  <c r="F92" i="1"/>
  <c r="G92" i="1"/>
  <c r="H92" i="1"/>
  <c r="X92" i="1"/>
  <c r="K92" i="1"/>
  <c r="Q92" i="1"/>
  <c r="L92" i="1"/>
  <c r="F93" i="1"/>
  <c r="G93" i="1"/>
  <c r="H93" i="1"/>
  <c r="X93" i="1"/>
  <c r="M93" i="1"/>
  <c r="L93" i="1"/>
  <c r="F94" i="1"/>
  <c r="G94" i="1"/>
  <c r="H94" i="1"/>
  <c r="X94" i="1"/>
  <c r="K94" i="1"/>
  <c r="Q94" i="1"/>
  <c r="H95" i="2"/>
  <c r="L94" i="1"/>
  <c r="N94" i="1"/>
  <c r="S94" i="1"/>
  <c r="F95" i="1"/>
  <c r="L95" i="1"/>
  <c r="G95" i="1"/>
  <c r="H95" i="1"/>
  <c r="F96" i="1"/>
  <c r="L96" i="1"/>
  <c r="G96" i="1"/>
  <c r="H96" i="1"/>
  <c r="X96" i="1"/>
  <c r="F97" i="1"/>
  <c r="G97" i="1"/>
  <c r="H97" i="1"/>
  <c r="L97" i="1"/>
  <c r="X97" i="1"/>
  <c r="F98" i="1"/>
  <c r="G98" i="1"/>
  <c r="H98" i="1"/>
  <c r="X98" i="1"/>
  <c r="K98" i="1"/>
  <c r="Q98" i="1"/>
  <c r="H99" i="2"/>
  <c r="L98" i="1"/>
  <c r="N98" i="1"/>
  <c r="S98" i="1"/>
  <c r="F99" i="1"/>
  <c r="L99" i="1"/>
  <c r="G99" i="1"/>
  <c r="H99" i="1"/>
  <c r="X99" i="1"/>
  <c r="K99" i="1"/>
  <c r="Q99" i="1"/>
  <c r="H100" i="2"/>
  <c r="M99" i="1"/>
  <c r="R99" i="1"/>
  <c r="I100" i="2"/>
  <c r="F100" i="1"/>
  <c r="G100" i="1"/>
  <c r="H100" i="1"/>
  <c r="L100" i="1"/>
  <c r="X100" i="1"/>
  <c r="F101" i="1"/>
  <c r="G101" i="1"/>
  <c r="H101" i="1"/>
  <c r="X101" i="1"/>
  <c r="M101" i="1"/>
  <c r="L101" i="1"/>
  <c r="F102" i="1"/>
  <c r="G102" i="1"/>
  <c r="H102" i="1"/>
  <c r="X102" i="1"/>
  <c r="K102" i="1"/>
  <c r="Q102" i="1"/>
  <c r="L102" i="1"/>
  <c r="N102" i="1"/>
  <c r="S102" i="1"/>
  <c r="F103" i="1"/>
  <c r="L103" i="1"/>
  <c r="G103" i="1"/>
  <c r="H103" i="1"/>
  <c r="F104" i="1"/>
  <c r="L104" i="1"/>
  <c r="G104" i="1"/>
  <c r="H104" i="1"/>
  <c r="X104" i="1"/>
  <c r="F105" i="1"/>
  <c r="G105" i="1"/>
  <c r="H105" i="1"/>
  <c r="L105" i="1"/>
  <c r="X105" i="1"/>
  <c r="F106" i="1"/>
  <c r="G106" i="1"/>
  <c r="H106" i="1"/>
  <c r="X106" i="1"/>
  <c r="K106" i="1"/>
  <c r="L106" i="1"/>
  <c r="N106" i="1"/>
  <c r="S106" i="1"/>
  <c r="Q106" i="1"/>
  <c r="F107" i="1"/>
  <c r="L107" i="1"/>
  <c r="G107" i="1"/>
  <c r="H107" i="1"/>
  <c r="F108" i="1"/>
  <c r="G108" i="1"/>
  <c r="H108" i="1"/>
  <c r="L108" i="1"/>
  <c r="X108" i="1"/>
  <c r="F109" i="1"/>
  <c r="G109" i="1"/>
  <c r="H109" i="1"/>
  <c r="X109" i="1"/>
  <c r="M109" i="1"/>
  <c r="L109" i="1"/>
  <c r="F110" i="1"/>
  <c r="G110" i="1"/>
  <c r="H110" i="1"/>
  <c r="X110" i="1"/>
  <c r="K110" i="1"/>
  <c r="Q110" i="1"/>
  <c r="H111" i="2"/>
  <c r="L110" i="1"/>
  <c r="N110" i="1"/>
  <c r="S110" i="1"/>
  <c r="F111" i="1"/>
  <c r="L111" i="1"/>
  <c r="G111" i="1"/>
  <c r="H111" i="1"/>
  <c r="F112" i="1"/>
  <c r="L112" i="1"/>
  <c r="G112" i="1"/>
  <c r="H112" i="1"/>
  <c r="X112" i="1"/>
  <c r="F113" i="1"/>
  <c r="G113" i="1"/>
  <c r="H113" i="1"/>
  <c r="L113" i="1"/>
  <c r="X113" i="1"/>
  <c r="F114" i="1"/>
  <c r="G114" i="1"/>
  <c r="H114" i="1"/>
  <c r="X114" i="1"/>
  <c r="K114" i="1"/>
  <c r="Q114" i="1"/>
  <c r="H115" i="2"/>
  <c r="L114" i="1"/>
  <c r="N114" i="1"/>
  <c r="S114" i="1"/>
  <c r="J115" i="2"/>
  <c r="F115" i="1"/>
  <c r="L115" i="1"/>
  <c r="G115" i="1"/>
  <c r="H115" i="1"/>
  <c r="F116" i="1"/>
  <c r="G116" i="1"/>
  <c r="H116" i="1"/>
  <c r="L116" i="1"/>
  <c r="X116" i="1"/>
  <c r="F117" i="1"/>
  <c r="G117" i="1"/>
  <c r="H117" i="1"/>
  <c r="L117" i="1"/>
  <c r="X117" i="1"/>
  <c r="F118" i="1"/>
  <c r="G118" i="1"/>
  <c r="H118" i="1"/>
  <c r="L118" i="1"/>
  <c r="X118" i="1"/>
  <c r="F119" i="1"/>
  <c r="L119" i="1"/>
  <c r="G119" i="1"/>
  <c r="H119" i="1"/>
  <c r="X119" i="1"/>
  <c r="F120" i="1"/>
  <c r="G120" i="1"/>
  <c r="H120" i="1"/>
  <c r="L120" i="1"/>
  <c r="X120" i="1"/>
  <c r="F121" i="1"/>
  <c r="G121" i="1"/>
  <c r="H121" i="1"/>
  <c r="L121" i="1"/>
  <c r="X121" i="1"/>
  <c r="G126" i="1"/>
  <c r="H126" i="1"/>
  <c r="L126" i="1"/>
  <c r="X126" i="1"/>
  <c r="G127" i="1"/>
  <c r="H127" i="1"/>
  <c r="L127" i="1"/>
  <c r="X127" i="1"/>
  <c r="G128" i="1"/>
  <c r="H128" i="1"/>
  <c r="L128" i="1"/>
  <c r="X128" i="1"/>
  <c r="G129" i="1"/>
  <c r="H129" i="1"/>
  <c r="L129" i="1"/>
  <c r="X129" i="1"/>
  <c r="G130" i="1"/>
  <c r="H130" i="1"/>
  <c r="L130" i="1"/>
  <c r="X130" i="1"/>
  <c r="G131" i="1"/>
  <c r="H131" i="1"/>
  <c r="L131" i="1"/>
  <c r="N131" i="1"/>
  <c r="S131" i="1"/>
  <c r="J135" i="2"/>
  <c r="X131" i="1"/>
  <c r="G132" i="1"/>
  <c r="H132" i="1"/>
  <c r="L132" i="1"/>
  <c r="X132" i="1"/>
  <c r="G133" i="1"/>
  <c r="H133" i="1"/>
  <c r="N133" i="1"/>
  <c r="S133" i="1"/>
  <c r="J137" i="2"/>
  <c r="L133" i="1"/>
  <c r="X133" i="1"/>
  <c r="G134" i="1"/>
  <c r="H134" i="1"/>
  <c r="L134" i="1"/>
  <c r="X134" i="1"/>
  <c r="G135" i="1"/>
  <c r="H135" i="1"/>
  <c r="L135" i="1"/>
  <c r="X135" i="1"/>
  <c r="G136" i="1"/>
  <c r="H136" i="1"/>
  <c r="L136" i="1"/>
  <c r="X136" i="1"/>
  <c r="G137" i="1"/>
  <c r="H137" i="1"/>
  <c r="L137" i="1"/>
  <c r="N137" i="1"/>
  <c r="S137" i="1"/>
  <c r="X137" i="1"/>
  <c r="G138" i="1"/>
  <c r="H138" i="1"/>
  <c r="L138" i="1"/>
  <c r="X138" i="1"/>
  <c r="G139" i="1"/>
  <c r="H139" i="1"/>
  <c r="L139" i="1"/>
  <c r="X139" i="1"/>
  <c r="G140" i="1"/>
  <c r="H140" i="1"/>
  <c r="L140" i="1"/>
  <c r="X140" i="1"/>
  <c r="G141" i="1"/>
  <c r="H141" i="1"/>
  <c r="X141" i="1"/>
  <c r="K141" i="1"/>
  <c r="Q141" i="1"/>
  <c r="H145" i="2"/>
  <c r="L141" i="1"/>
  <c r="M141" i="1"/>
  <c r="V141" i="1"/>
  <c r="N141" i="1"/>
  <c r="S141" i="1"/>
  <c r="G142" i="1"/>
  <c r="H142" i="1"/>
  <c r="L142" i="1"/>
  <c r="X142" i="1"/>
  <c r="K142" i="1"/>
  <c r="Q142" i="1"/>
  <c r="H146" i="2"/>
  <c r="G143" i="1"/>
  <c r="H143" i="1"/>
  <c r="L143" i="1"/>
  <c r="X143" i="1"/>
  <c r="M143" i="1"/>
  <c r="V143" i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A3" i="2"/>
  <c r="B3" i="2"/>
  <c r="C3" i="2"/>
  <c r="H3" i="2"/>
  <c r="I3" i="2"/>
  <c r="J3" i="2"/>
  <c r="K3" i="2"/>
  <c r="B4" i="2"/>
  <c r="C4" i="2"/>
  <c r="H4" i="2"/>
  <c r="I4" i="2"/>
  <c r="J4" i="2"/>
  <c r="K4" i="2"/>
  <c r="A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3" i="2"/>
  <c r="E24" i="2"/>
  <c r="E25" i="2"/>
  <c r="E26" i="2"/>
  <c r="E27" i="2"/>
  <c r="E28" i="2"/>
  <c r="E29" i="2"/>
  <c r="E30" i="2"/>
  <c r="E33" i="2"/>
  <c r="E34" i="2"/>
  <c r="E35" i="2"/>
  <c r="E36" i="2"/>
  <c r="E37" i="2"/>
  <c r="E38" i="2"/>
  <c r="E39" i="2"/>
  <c r="E40" i="2"/>
  <c r="E41" i="2"/>
  <c r="E42" i="2"/>
  <c r="E43" i="2"/>
  <c r="E44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G128" i="2"/>
  <c r="F8" i="2"/>
  <c r="G8" i="2"/>
  <c r="A9" i="2"/>
  <c r="B9" i="2"/>
  <c r="C9" i="2"/>
  <c r="D9" i="2"/>
  <c r="F9" i="2"/>
  <c r="G9" i="2"/>
  <c r="A10" i="2"/>
  <c r="B10" i="2"/>
  <c r="C10" i="2"/>
  <c r="D10" i="2"/>
  <c r="F10" i="2"/>
  <c r="G10" i="2"/>
  <c r="A11" i="2"/>
  <c r="B11" i="2"/>
  <c r="C11" i="2"/>
  <c r="D11" i="2"/>
  <c r="F11" i="2"/>
  <c r="G11" i="2"/>
  <c r="A12" i="2"/>
  <c r="B12" i="2"/>
  <c r="C12" i="2"/>
  <c r="D12" i="2"/>
  <c r="F12" i="2"/>
  <c r="G12" i="2"/>
  <c r="A13" i="2"/>
  <c r="B13" i="2"/>
  <c r="C13" i="2"/>
  <c r="D13" i="2"/>
  <c r="F13" i="2"/>
  <c r="G13" i="2"/>
  <c r="A14" i="2"/>
  <c r="B14" i="2"/>
  <c r="C14" i="2"/>
  <c r="D14" i="2"/>
  <c r="F14" i="2"/>
  <c r="G14" i="2"/>
  <c r="A15" i="2"/>
  <c r="B15" i="2"/>
  <c r="C15" i="2"/>
  <c r="D15" i="2"/>
  <c r="F15" i="2"/>
  <c r="G15" i="2"/>
  <c r="A16" i="2"/>
  <c r="B16" i="2"/>
  <c r="C16" i="2"/>
  <c r="D16" i="2"/>
  <c r="F16" i="2"/>
  <c r="G16" i="2"/>
  <c r="A17" i="2"/>
  <c r="B17" i="2"/>
  <c r="C17" i="2"/>
  <c r="D17" i="2"/>
  <c r="F17" i="2"/>
  <c r="G17" i="2"/>
  <c r="A18" i="2"/>
  <c r="B18" i="2"/>
  <c r="C18" i="2"/>
  <c r="D18" i="2"/>
  <c r="F18" i="2"/>
  <c r="G18" i="2"/>
  <c r="A19" i="2"/>
  <c r="B19" i="2"/>
  <c r="C19" i="2"/>
  <c r="D19" i="2"/>
  <c r="F19" i="2"/>
  <c r="G19" i="2"/>
  <c r="A20" i="2"/>
  <c r="B20" i="2"/>
  <c r="C20" i="2"/>
  <c r="D20" i="2"/>
  <c r="F20" i="2"/>
  <c r="G20" i="2"/>
  <c r="A22" i="2"/>
  <c r="B22" i="2"/>
  <c r="C22" i="2"/>
  <c r="A23" i="2"/>
  <c r="B23" i="2"/>
  <c r="C23" i="2"/>
  <c r="D23" i="2"/>
  <c r="F23" i="2"/>
  <c r="G23" i="2"/>
  <c r="A24" i="2"/>
  <c r="B24" i="2"/>
  <c r="C24" i="2"/>
  <c r="D24" i="2"/>
  <c r="F24" i="2"/>
  <c r="G24" i="2"/>
  <c r="A25" i="2"/>
  <c r="B25" i="2"/>
  <c r="C25" i="2"/>
  <c r="D25" i="2"/>
  <c r="F25" i="2"/>
  <c r="G25" i="2"/>
  <c r="A26" i="2"/>
  <c r="B26" i="2"/>
  <c r="C26" i="2"/>
  <c r="D26" i="2"/>
  <c r="F26" i="2"/>
  <c r="G26" i="2"/>
  <c r="A27" i="2"/>
  <c r="B27" i="2"/>
  <c r="C27" i="2"/>
  <c r="D27" i="2"/>
  <c r="F27" i="2"/>
  <c r="G27" i="2"/>
  <c r="A28" i="2"/>
  <c r="B28" i="2"/>
  <c r="C28" i="2"/>
  <c r="D28" i="2"/>
  <c r="F28" i="2"/>
  <c r="G28" i="2"/>
  <c r="A29" i="2"/>
  <c r="B29" i="2"/>
  <c r="C29" i="2"/>
  <c r="D29" i="2"/>
  <c r="F29" i="2"/>
  <c r="G29" i="2"/>
  <c r="J29" i="2"/>
  <c r="A30" i="2"/>
  <c r="B30" i="2"/>
  <c r="C30" i="2"/>
  <c r="D30" i="2"/>
  <c r="F30" i="2"/>
  <c r="G30" i="2"/>
  <c r="A32" i="2"/>
  <c r="B32" i="2"/>
  <c r="C32" i="2"/>
  <c r="A33" i="2"/>
  <c r="B33" i="2"/>
  <c r="C33" i="2"/>
  <c r="D33" i="2"/>
  <c r="F33" i="2"/>
  <c r="G33" i="2"/>
  <c r="A34" i="2"/>
  <c r="B34" i="2"/>
  <c r="C34" i="2"/>
  <c r="D34" i="2"/>
  <c r="F34" i="2"/>
  <c r="G34" i="2"/>
  <c r="A35" i="2"/>
  <c r="B35" i="2"/>
  <c r="C35" i="2"/>
  <c r="D35" i="2"/>
  <c r="F35" i="2"/>
  <c r="G35" i="2"/>
  <c r="H35" i="2"/>
  <c r="A36" i="2"/>
  <c r="B36" i="2"/>
  <c r="C36" i="2"/>
  <c r="D36" i="2"/>
  <c r="F36" i="2"/>
  <c r="G36" i="2"/>
  <c r="A37" i="2"/>
  <c r="B37" i="2"/>
  <c r="C37" i="2"/>
  <c r="D37" i="2"/>
  <c r="F37" i="2"/>
  <c r="G37" i="2"/>
  <c r="A38" i="2"/>
  <c r="B38" i="2"/>
  <c r="C38" i="2"/>
  <c r="D38" i="2"/>
  <c r="F38" i="2"/>
  <c r="G38" i="2"/>
  <c r="A39" i="2"/>
  <c r="B39" i="2"/>
  <c r="C39" i="2"/>
  <c r="D39" i="2"/>
  <c r="F39" i="2"/>
  <c r="G39" i="2"/>
  <c r="A40" i="2"/>
  <c r="B40" i="2"/>
  <c r="C40" i="2"/>
  <c r="D40" i="2"/>
  <c r="F40" i="2"/>
  <c r="G40" i="2"/>
  <c r="A41" i="2"/>
  <c r="B41" i="2"/>
  <c r="C41" i="2"/>
  <c r="D41" i="2"/>
  <c r="F41" i="2"/>
  <c r="G41" i="2"/>
  <c r="A42" i="2"/>
  <c r="B42" i="2"/>
  <c r="C42" i="2"/>
  <c r="D42" i="2"/>
  <c r="F42" i="2"/>
  <c r="G42" i="2"/>
  <c r="A43" i="2"/>
  <c r="B43" i="2"/>
  <c r="C43" i="2"/>
  <c r="D43" i="2"/>
  <c r="F43" i="2"/>
  <c r="G43" i="2"/>
  <c r="A44" i="2"/>
  <c r="B44" i="2"/>
  <c r="C44" i="2"/>
  <c r="D44" i="2"/>
  <c r="F44" i="2"/>
  <c r="G44" i="2"/>
  <c r="A47" i="2"/>
  <c r="B47" i="2"/>
  <c r="A48" i="2"/>
  <c r="B48" i="2"/>
  <c r="C48" i="2"/>
  <c r="D48" i="2"/>
  <c r="F48" i="2"/>
  <c r="G48" i="2"/>
  <c r="A49" i="2"/>
  <c r="B49" i="2"/>
  <c r="C49" i="2"/>
  <c r="D49" i="2"/>
  <c r="F49" i="2"/>
  <c r="G49" i="2"/>
  <c r="A50" i="2"/>
  <c r="B50" i="2"/>
  <c r="C50" i="2"/>
  <c r="D50" i="2"/>
  <c r="F50" i="2"/>
  <c r="G50" i="2"/>
  <c r="H50" i="2"/>
  <c r="A51" i="2"/>
  <c r="B51" i="2"/>
  <c r="C51" i="2"/>
  <c r="D51" i="2"/>
  <c r="F51" i="2"/>
  <c r="G51" i="2"/>
  <c r="A52" i="2"/>
  <c r="B52" i="2"/>
  <c r="C52" i="2"/>
  <c r="D52" i="2"/>
  <c r="F52" i="2"/>
  <c r="G52" i="2"/>
  <c r="A53" i="2"/>
  <c r="B53" i="2"/>
  <c r="C53" i="2"/>
  <c r="D53" i="2"/>
  <c r="F53" i="2"/>
  <c r="G53" i="2"/>
  <c r="A54" i="2"/>
  <c r="B54" i="2"/>
  <c r="C54" i="2"/>
  <c r="D54" i="2"/>
  <c r="F54" i="2"/>
  <c r="G54" i="2"/>
  <c r="H54" i="2"/>
  <c r="A55" i="2"/>
  <c r="B55" i="2"/>
  <c r="C55" i="2"/>
  <c r="D55" i="2"/>
  <c r="F55" i="2"/>
  <c r="G55" i="2"/>
  <c r="A56" i="2"/>
  <c r="B56" i="2"/>
  <c r="C56" i="2"/>
  <c r="D56" i="2"/>
  <c r="F56" i="2"/>
  <c r="G56" i="2"/>
  <c r="A57" i="2"/>
  <c r="B57" i="2"/>
  <c r="C57" i="2"/>
  <c r="D57" i="2"/>
  <c r="F57" i="2"/>
  <c r="G57" i="2"/>
  <c r="A58" i="2"/>
  <c r="B58" i="2"/>
  <c r="C58" i="2"/>
  <c r="D58" i="2"/>
  <c r="F58" i="2"/>
  <c r="G58" i="2"/>
  <c r="H58" i="2"/>
  <c r="A59" i="2"/>
  <c r="B59" i="2"/>
  <c r="C59" i="2"/>
  <c r="D59" i="2"/>
  <c r="F59" i="2"/>
  <c r="G59" i="2"/>
  <c r="A60" i="2"/>
  <c r="B60" i="2"/>
  <c r="C60" i="2"/>
  <c r="D60" i="2"/>
  <c r="F60" i="2"/>
  <c r="G60" i="2"/>
  <c r="A61" i="2"/>
  <c r="B61" i="2"/>
  <c r="C61" i="2"/>
  <c r="D61" i="2"/>
  <c r="F61" i="2"/>
  <c r="G61" i="2"/>
  <c r="J61" i="2"/>
  <c r="A62" i="2"/>
  <c r="B62" i="2"/>
  <c r="C62" i="2"/>
  <c r="D62" i="2"/>
  <c r="F62" i="2"/>
  <c r="G62" i="2"/>
  <c r="A63" i="2"/>
  <c r="B63" i="2"/>
  <c r="C63" i="2"/>
  <c r="D63" i="2"/>
  <c r="F63" i="2"/>
  <c r="G63" i="2"/>
  <c r="A64" i="2"/>
  <c r="B64" i="2"/>
  <c r="C64" i="2"/>
  <c r="D64" i="2"/>
  <c r="F64" i="2"/>
  <c r="G64" i="2"/>
  <c r="A65" i="2"/>
  <c r="B65" i="2"/>
  <c r="C65" i="2"/>
  <c r="D65" i="2"/>
  <c r="F65" i="2"/>
  <c r="G65" i="2"/>
  <c r="A66" i="2"/>
  <c r="B66" i="2"/>
  <c r="C66" i="2"/>
  <c r="D66" i="2"/>
  <c r="F66" i="2"/>
  <c r="G66" i="2"/>
  <c r="A67" i="2"/>
  <c r="B67" i="2"/>
  <c r="C67" i="2"/>
  <c r="D67" i="2"/>
  <c r="F67" i="2"/>
  <c r="G67" i="2"/>
  <c r="A68" i="2"/>
  <c r="B68" i="2"/>
  <c r="C68" i="2"/>
  <c r="D68" i="2"/>
  <c r="F68" i="2"/>
  <c r="G68" i="2"/>
  <c r="I68" i="2"/>
  <c r="A69" i="2"/>
  <c r="B69" i="2"/>
  <c r="C69" i="2"/>
  <c r="D69" i="2"/>
  <c r="F69" i="2"/>
  <c r="G69" i="2"/>
  <c r="A70" i="2"/>
  <c r="B70" i="2"/>
  <c r="C70" i="2"/>
  <c r="D70" i="2"/>
  <c r="F70" i="2"/>
  <c r="G70" i="2"/>
  <c r="A71" i="2"/>
  <c r="B71" i="2"/>
  <c r="C71" i="2"/>
  <c r="D71" i="2"/>
  <c r="F71" i="2"/>
  <c r="G71" i="2"/>
  <c r="A72" i="2"/>
  <c r="B72" i="2"/>
  <c r="C72" i="2"/>
  <c r="D72" i="2"/>
  <c r="F72" i="2"/>
  <c r="G72" i="2"/>
  <c r="A73" i="2"/>
  <c r="B73" i="2"/>
  <c r="C73" i="2"/>
  <c r="D73" i="2"/>
  <c r="F73" i="2"/>
  <c r="G73" i="2"/>
  <c r="A74" i="2"/>
  <c r="B74" i="2"/>
  <c r="C74" i="2"/>
  <c r="D74" i="2"/>
  <c r="F74" i="2"/>
  <c r="G74" i="2"/>
  <c r="A75" i="2"/>
  <c r="B75" i="2"/>
  <c r="C75" i="2"/>
  <c r="D75" i="2"/>
  <c r="F75" i="2"/>
  <c r="G75" i="2"/>
  <c r="A76" i="2"/>
  <c r="B76" i="2"/>
  <c r="C76" i="2"/>
  <c r="D76" i="2"/>
  <c r="F76" i="2"/>
  <c r="G76" i="2"/>
  <c r="A77" i="2"/>
  <c r="B77" i="2"/>
  <c r="C77" i="2"/>
  <c r="D77" i="2"/>
  <c r="F77" i="2"/>
  <c r="G77" i="2"/>
  <c r="J77" i="2"/>
  <c r="A78" i="2"/>
  <c r="B78" i="2"/>
  <c r="C78" i="2"/>
  <c r="D78" i="2"/>
  <c r="F78" i="2"/>
  <c r="G78" i="2"/>
  <c r="A79" i="2"/>
  <c r="B79" i="2"/>
  <c r="C79" i="2"/>
  <c r="D79" i="2"/>
  <c r="F79" i="2"/>
  <c r="G79" i="2"/>
  <c r="A80" i="2"/>
  <c r="B80" i="2"/>
  <c r="C80" i="2"/>
  <c r="D80" i="2"/>
  <c r="F80" i="2"/>
  <c r="G80" i="2"/>
  <c r="A81" i="2"/>
  <c r="B81" i="2"/>
  <c r="C81" i="2"/>
  <c r="D81" i="2"/>
  <c r="F81" i="2"/>
  <c r="G81" i="2"/>
  <c r="J81" i="2"/>
  <c r="A82" i="2"/>
  <c r="B82" i="2"/>
  <c r="C82" i="2"/>
  <c r="D82" i="2"/>
  <c r="F82" i="2"/>
  <c r="G82" i="2"/>
  <c r="A83" i="2"/>
  <c r="B83" i="2"/>
  <c r="C83" i="2"/>
  <c r="D83" i="2"/>
  <c r="F83" i="2"/>
  <c r="G83" i="2"/>
  <c r="F86" i="2"/>
  <c r="A87" i="2"/>
  <c r="B87" i="2"/>
  <c r="C87" i="2"/>
  <c r="D87" i="2"/>
  <c r="F87" i="2"/>
  <c r="G87" i="2"/>
  <c r="A88" i="2"/>
  <c r="B88" i="2"/>
  <c r="C88" i="2"/>
  <c r="D88" i="2"/>
  <c r="F88" i="2"/>
  <c r="G88" i="2"/>
  <c r="A89" i="2"/>
  <c r="B89" i="2"/>
  <c r="C89" i="2"/>
  <c r="D89" i="2"/>
  <c r="F89" i="2"/>
  <c r="G89" i="2"/>
  <c r="A90" i="2"/>
  <c r="B90" i="2"/>
  <c r="C90" i="2"/>
  <c r="D90" i="2"/>
  <c r="F90" i="2"/>
  <c r="G90" i="2"/>
  <c r="A91" i="2"/>
  <c r="B91" i="2"/>
  <c r="C91" i="2"/>
  <c r="D91" i="2"/>
  <c r="F91" i="2"/>
  <c r="G91" i="2"/>
  <c r="H91" i="2"/>
  <c r="J91" i="2"/>
  <c r="A92" i="2"/>
  <c r="B92" i="2"/>
  <c r="C92" i="2"/>
  <c r="D92" i="2"/>
  <c r="F92" i="2"/>
  <c r="G92" i="2"/>
  <c r="A93" i="2"/>
  <c r="B93" i="2"/>
  <c r="C93" i="2"/>
  <c r="D93" i="2"/>
  <c r="F93" i="2"/>
  <c r="G93" i="2"/>
  <c r="H93" i="2"/>
  <c r="A94" i="2"/>
  <c r="B94" i="2"/>
  <c r="C94" i="2"/>
  <c r="D94" i="2"/>
  <c r="F94" i="2"/>
  <c r="G94" i="2"/>
  <c r="A95" i="2"/>
  <c r="B95" i="2"/>
  <c r="C95" i="2"/>
  <c r="D95" i="2"/>
  <c r="F95" i="2"/>
  <c r="G95" i="2"/>
  <c r="J95" i="2"/>
  <c r="A96" i="2"/>
  <c r="B96" i="2"/>
  <c r="C96" i="2"/>
  <c r="D96" i="2"/>
  <c r="F96" i="2"/>
  <c r="G96" i="2"/>
  <c r="A97" i="2"/>
  <c r="B97" i="2"/>
  <c r="C97" i="2"/>
  <c r="D97" i="2"/>
  <c r="F97" i="2"/>
  <c r="G97" i="2"/>
  <c r="A98" i="2"/>
  <c r="B98" i="2"/>
  <c r="C98" i="2"/>
  <c r="D98" i="2"/>
  <c r="F98" i="2"/>
  <c r="G98" i="2"/>
  <c r="A99" i="2"/>
  <c r="B99" i="2"/>
  <c r="C99" i="2"/>
  <c r="D99" i="2"/>
  <c r="F99" i="2"/>
  <c r="G99" i="2"/>
  <c r="J99" i="2"/>
  <c r="A100" i="2"/>
  <c r="B100" i="2"/>
  <c r="C100" i="2"/>
  <c r="D100" i="2"/>
  <c r="F100" i="2"/>
  <c r="G100" i="2"/>
  <c r="A101" i="2"/>
  <c r="B101" i="2"/>
  <c r="C101" i="2"/>
  <c r="D101" i="2"/>
  <c r="F101" i="2"/>
  <c r="G101" i="2"/>
  <c r="A102" i="2"/>
  <c r="B102" i="2"/>
  <c r="C102" i="2"/>
  <c r="D102" i="2"/>
  <c r="F102" i="2"/>
  <c r="G102" i="2"/>
  <c r="A103" i="2"/>
  <c r="B103" i="2"/>
  <c r="C103" i="2"/>
  <c r="D103" i="2"/>
  <c r="F103" i="2"/>
  <c r="G103" i="2"/>
  <c r="H103" i="2"/>
  <c r="J103" i="2"/>
  <c r="A104" i="2"/>
  <c r="B104" i="2"/>
  <c r="C104" i="2"/>
  <c r="D104" i="2"/>
  <c r="F104" i="2"/>
  <c r="G104" i="2"/>
  <c r="A105" i="2"/>
  <c r="B105" i="2"/>
  <c r="C105" i="2"/>
  <c r="D105" i="2"/>
  <c r="F105" i="2"/>
  <c r="G105" i="2"/>
  <c r="A106" i="2"/>
  <c r="B106" i="2"/>
  <c r="C106" i="2"/>
  <c r="D106" i="2"/>
  <c r="F106" i="2"/>
  <c r="G106" i="2"/>
  <c r="A107" i="2"/>
  <c r="B107" i="2"/>
  <c r="C107" i="2"/>
  <c r="D107" i="2"/>
  <c r="F107" i="2"/>
  <c r="G107" i="2"/>
  <c r="H107" i="2"/>
  <c r="J107" i="2"/>
  <c r="A108" i="2"/>
  <c r="B108" i="2"/>
  <c r="C108" i="2"/>
  <c r="D108" i="2"/>
  <c r="F108" i="2"/>
  <c r="G108" i="2"/>
  <c r="A109" i="2"/>
  <c r="B109" i="2"/>
  <c r="C109" i="2"/>
  <c r="D109" i="2"/>
  <c r="F109" i="2"/>
  <c r="G109" i="2"/>
  <c r="A110" i="2"/>
  <c r="B110" i="2"/>
  <c r="C110" i="2"/>
  <c r="D110" i="2"/>
  <c r="F110" i="2"/>
  <c r="G110" i="2"/>
  <c r="A111" i="2"/>
  <c r="B111" i="2"/>
  <c r="C111" i="2"/>
  <c r="D111" i="2"/>
  <c r="F111" i="2"/>
  <c r="G111" i="2"/>
  <c r="J111" i="2"/>
  <c r="A112" i="2"/>
  <c r="B112" i="2"/>
  <c r="C112" i="2"/>
  <c r="D112" i="2"/>
  <c r="F112" i="2"/>
  <c r="G112" i="2"/>
  <c r="A113" i="2"/>
  <c r="B113" i="2"/>
  <c r="C113" i="2"/>
  <c r="D113" i="2"/>
  <c r="F113" i="2"/>
  <c r="G113" i="2"/>
  <c r="A114" i="2"/>
  <c r="B114" i="2"/>
  <c r="C114" i="2"/>
  <c r="D114" i="2"/>
  <c r="F114" i="2"/>
  <c r="G114" i="2"/>
  <c r="A115" i="2"/>
  <c r="B115" i="2"/>
  <c r="C115" i="2"/>
  <c r="D115" i="2"/>
  <c r="F115" i="2"/>
  <c r="G115" i="2"/>
  <c r="A116" i="2"/>
  <c r="B116" i="2"/>
  <c r="C116" i="2"/>
  <c r="D116" i="2"/>
  <c r="F116" i="2"/>
  <c r="G116" i="2"/>
  <c r="A117" i="2"/>
  <c r="B117" i="2"/>
  <c r="C117" i="2"/>
  <c r="D117" i="2"/>
  <c r="F117" i="2"/>
  <c r="G117" i="2"/>
  <c r="A118" i="2"/>
  <c r="B118" i="2"/>
  <c r="C118" i="2"/>
  <c r="D118" i="2"/>
  <c r="F118" i="2"/>
  <c r="G118" i="2"/>
  <c r="A119" i="2"/>
  <c r="B119" i="2"/>
  <c r="C119" i="2"/>
  <c r="D119" i="2"/>
  <c r="F119" i="2"/>
  <c r="G119" i="2"/>
  <c r="A120" i="2"/>
  <c r="B120" i="2"/>
  <c r="C120" i="2"/>
  <c r="D120" i="2"/>
  <c r="F120" i="2"/>
  <c r="G120" i="2"/>
  <c r="A121" i="2"/>
  <c r="B121" i="2"/>
  <c r="C121" i="2"/>
  <c r="D121" i="2"/>
  <c r="F121" i="2"/>
  <c r="G121" i="2"/>
  <c r="A122" i="2"/>
  <c r="B122" i="2"/>
  <c r="C122" i="2"/>
  <c r="D122" i="2"/>
  <c r="F122" i="2"/>
  <c r="G122" i="2"/>
  <c r="A129" i="2"/>
  <c r="B129" i="2"/>
  <c r="A130" i="2"/>
  <c r="B130" i="2"/>
  <c r="C130" i="2"/>
  <c r="D130" i="2"/>
  <c r="E130" i="2"/>
  <c r="F130" i="2"/>
  <c r="G130" i="2"/>
  <c r="A131" i="2"/>
  <c r="B131" i="2"/>
  <c r="C131" i="2"/>
  <c r="D131" i="2"/>
  <c r="E131" i="2"/>
  <c r="F131" i="2"/>
  <c r="G131" i="2"/>
  <c r="A132" i="2"/>
  <c r="B132" i="2"/>
  <c r="C132" i="2"/>
  <c r="D132" i="2"/>
  <c r="E132" i="2"/>
  <c r="F132" i="2"/>
  <c r="G132" i="2"/>
  <c r="A133" i="2"/>
  <c r="B133" i="2"/>
  <c r="C133" i="2"/>
  <c r="D133" i="2"/>
  <c r="E133" i="2"/>
  <c r="F133" i="2"/>
  <c r="G133" i="2"/>
  <c r="A134" i="2"/>
  <c r="B134" i="2"/>
  <c r="C134" i="2"/>
  <c r="D134" i="2"/>
  <c r="E134" i="2"/>
  <c r="F134" i="2"/>
  <c r="G134" i="2"/>
  <c r="A135" i="2"/>
  <c r="B135" i="2"/>
  <c r="C135" i="2"/>
  <c r="D135" i="2"/>
  <c r="E135" i="2"/>
  <c r="F135" i="2"/>
  <c r="G135" i="2"/>
  <c r="A136" i="2"/>
  <c r="B136" i="2"/>
  <c r="C136" i="2"/>
  <c r="D136" i="2"/>
  <c r="E136" i="2"/>
  <c r="F136" i="2"/>
  <c r="G136" i="2"/>
  <c r="A137" i="2"/>
  <c r="B137" i="2"/>
  <c r="C137" i="2"/>
  <c r="D137" i="2"/>
  <c r="E137" i="2"/>
  <c r="F137" i="2"/>
  <c r="G137" i="2"/>
  <c r="A138" i="2"/>
  <c r="B138" i="2"/>
  <c r="C138" i="2"/>
  <c r="D138" i="2"/>
  <c r="E138" i="2"/>
  <c r="F138" i="2"/>
  <c r="G138" i="2"/>
  <c r="A139" i="2"/>
  <c r="B139" i="2"/>
  <c r="C139" i="2"/>
  <c r="D139" i="2"/>
  <c r="E139" i="2"/>
  <c r="F139" i="2"/>
  <c r="G139" i="2"/>
  <c r="A140" i="2"/>
  <c r="B140" i="2"/>
  <c r="C140" i="2"/>
  <c r="D140" i="2"/>
  <c r="E140" i="2"/>
  <c r="F140" i="2"/>
  <c r="G140" i="2"/>
  <c r="A141" i="2"/>
  <c r="B141" i="2"/>
  <c r="C141" i="2"/>
  <c r="D141" i="2"/>
  <c r="E141" i="2"/>
  <c r="F141" i="2"/>
  <c r="G141" i="2"/>
  <c r="J141" i="2"/>
  <c r="A142" i="2"/>
  <c r="B142" i="2"/>
  <c r="C142" i="2"/>
  <c r="D142" i="2"/>
  <c r="E142" i="2"/>
  <c r="F142" i="2"/>
  <c r="G142" i="2"/>
  <c r="A143" i="2"/>
  <c r="B143" i="2"/>
  <c r="C143" i="2"/>
  <c r="D143" i="2"/>
  <c r="E143" i="2"/>
  <c r="F143" i="2"/>
  <c r="G143" i="2"/>
  <c r="A144" i="2"/>
  <c r="B144" i="2"/>
  <c r="C144" i="2"/>
  <c r="D144" i="2"/>
  <c r="E144" i="2"/>
  <c r="F144" i="2"/>
  <c r="G144" i="2"/>
  <c r="A145" i="2"/>
  <c r="B145" i="2"/>
  <c r="C145" i="2"/>
  <c r="D145" i="2"/>
  <c r="E145" i="2"/>
  <c r="F145" i="2"/>
  <c r="G145" i="2"/>
  <c r="J145" i="2"/>
  <c r="A146" i="2"/>
  <c r="B146" i="2"/>
  <c r="C146" i="2"/>
  <c r="D146" i="2"/>
  <c r="E146" i="2"/>
  <c r="F146" i="2"/>
  <c r="G146" i="2"/>
  <c r="A147" i="2"/>
  <c r="B147" i="2"/>
  <c r="C147" i="2"/>
  <c r="D147" i="2"/>
  <c r="E147" i="2"/>
  <c r="F147" i="2"/>
  <c r="G147" i="2"/>
  <c r="Y95" i="1"/>
  <c r="R95" i="1"/>
  <c r="I96" i="2"/>
  <c r="Y111" i="1"/>
  <c r="R111" i="1"/>
  <c r="I112" i="2"/>
  <c r="Y103" i="1"/>
  <c r="R103" i="1"/>
  <c r="I104" i="2"/>
  <c r="R91" i="1"/>
  <c r="I92" i="2"/>
  <c r="V91" i="1"/>
  <c r="R143" i="1"/>
  <c r="I147" i="2"/>
  <c r="N115" i="1"/>
  <c r="S115" i="1"/>
  <c r="J116" i="2"/>
  <c r="V99" i="1"/>
  <c r="K91" i="1"/>
  <c r="Q91" i="1"/>
  <c r="H92" i="2"/>
  <c r="N87" i="1"/>
  <c r="S87" i="1"/>
  <c r="J88" i="2"/>
  <c r="M79" i="1"/>
  <c r="N79" i="1"/>
  <c r="S79" i="1"/>
  <c r="J79" i="2"/>
  <c r="AA77" i="1"/>
  <c r="O77" i="1"/>
  <c r="T77" i="1"/>
  <c r="AA75" i="1"/>
  <c r="O75" i="1"/>
  <c r="T75" i="1"/>
  <c r="V75" i="1"/>
  <c r="K71" i="1"/>
  <c r="Q71" i="1"/>
  <c r="H71" i="2"/>
  <c r="R54" i="1"/>
  <c r="I54" i="2"/>
  <c r="R50" i="1"/>
  <c r="I50" i="2"/>
  <c r="N27" i="1"/>
  <c r="S27" i="1"/>
  <c r="J26" i="2"/>
  <c r="K143" i="1"/>
  <c r="Q143" i="1"/>
  <c r="H147" i="2"/>
  <c r="M115" i="1"/>
  <c r="Y115" i="1"/>
  <c r="N107" i="1"/>
  <c r="S107" i="1"/>
  <c r="J108" i="2"/>
  <c r="Y64" i="1"/>
  <c r="AC64" i="1"/>
  <c r="Y143" i="1"/>
  <c r="AC143" i="1"/>
  <c r="M107" i="1"/>
  <c r="Y107" i="1"/>
  <c r="R75" i="1"/>
  <c r="I75" i="2"/>
  <c r="V73" i="1"/>
  <c r="M71" i="1"/>
  <c r="N117" i="1"/>
  <c r="S117" i="1"/>
  <c r="J118" i="2"/>
  <c r="M117" i="1"/>
  <c r="K117" i="1"/>
  <c r="Q117" i="1"/>
  <c r="H118" i="2"/>
  <c r="I143" i="1"/>
  <c r="Y141" i="1"/>
  <c r="R141" i="1"/>
  <c r="I145" i="2"/>
  <c r="K136" i="1"/>
  <c r="Q136" i="1"/>
  <c r="H140" i="2"/>
  <c r="M136" i="1"/>
  <c r="V136" i="1"/>
  <c r="N136" i="1"/>
  <c r="S136" i="1"/>
  <c r="J140" i="2"/>
  <c r="M135" i="1"/>
  <c r="K135" i="1"/>
  <c r="Q135" i="1"/>
  <c r="H139" i="2"/>
  <c r="M121" i="1"/>
  <c r="V121" i="1"/>
  <c r="N121" i="1"/>
  <c r="S121" i="1"/>
  <c r="J122" i="2"/>
  <c r="K121" i="1"/>
  <c r="Q121" i="1"/>
  <c r="H122" i="2"/>
  <c r="M116" i="1"/>
  <c r="N116" i="1"/>
  <c r="S116" i="1"/>
  <c r="J117" i="2"/>
  <c r="K116" i="1"/>
  <c r="Q116" i="1"/>
  <c r="H117" i="2"/>
  <c r="N113" i="1"/>
  <c r="S113" i="1"/>
  <c r="J114" i="2"/>
  <c r="K113" i="1"/>
  <c r="Q113" i="1"/>
  <c r="H114" i="2"/>
  <c r="M113" i="1"/>
  <c r="V113" i="1"/>
  <c r="R109" i="1"/>
  <c r="I110" i="2"/>
  <c r="Y109" i="1"/>
  <c r="M104" i="1"/>
  <c r="N104" i="1"/>
  <c r="S104" i="1"/>
  <c r="J105" i="2"/>
  <c r="K104" i="1"/>
  <c r="Q104" i="1"/>
  <c r="H105" i="2"/>
  <c r="AB83" i="1"/>
  <c r="Z83" i="1"/>
  <c r="AA83" i="1"/>
  <c r="O83" i="1"/>
  <c r="T83" i="1"/>
  <c r="I83" i="1"/>
  <c r="AC83" i="1"/>
  <c r="K130" i="1"/>
  <c r="Q130" i="1"/>
  <c r="H134" i="2"/>
  <c r="M130" i="1"/>
  <c r="N130" i="1"/>
  <c r="S130" i="1"/>
  <c r="J134" i="2"/>
  <c r="M112" i="1"/>
  <c r="N112" i="1"/>
  <c r="S112" i="1"/>
  <c r="J113" i="2"/>
  <c r="K112" i="1"/>
  <c r="Q112" i="1"/>
  <c r="H113" i="2"/>
  <c r="K138" i="1"/>
  <c r="Q138" i="1"/>
  <c r="H142" i="2"/>
  <c r="M138" i="1"/>
  <c r="N138" i="1"/>
  <c r="S138" i="1"/>
  <c r="J142" i="2"/>
  <c r="M137" i="1"/>
  <c r="K137" i="1"/>
  <c r="Q137" i="1"/>
  <c r="H141" i="2"/>
  <c r="N135" i="1"/>
  <c r="S135" i="1"/>
  <c r="J139" i="2"/>
  <c r="M127" i="1"/>
  <c r="N127" i="1"/>
  <c r="S127" i="1"/>
  <c r="J131" i="2"/>
  <c r="K127" i="1"/>
  <c r="Q127" i="1"/>
  <c r="H131" i="2"/>
  <c r="K126" i="1"/>
  <c r="Q126" i="1"/>
  <c r="H130" i="2"/>
  <c r="M126" i="1"/>
  <c r="N126" i="1"/>
  <c r="S126" i="1"/>
  <c r="J130" i="2"/>
  <c r="K120" i="1"/>
  <c r="Q120" i="1"/>
  <c r="H121" i="2"/>
  <c r="M120" i="1"/>
  <c r="N120" i="1"/>
  <c r="S120" i="1"/>
  <c r="J121" i="2"/>
  <c r="M108" i="1"/>
  <c r="N108" i="1"/>
  <c r="S108" i="1"/>
  <c r="J109" i="2"/>
  <c r="K108" i="1"/>
  <c r="Q108" i="1"/>
  <c r="H109" i="2"/>
  <c r="N105" i="1"/>
  <c r="S105" i="1"/>
  <c r="J106" i="2"/>
  <c r="K105" i="1"/>
  <c r="Q105" i="1"/>
  <c r="H106" i="2"/>
  <c r="M105" i="1"/>
  <c r="R101" i="1"/>
  <c r="I102" i="2"/>
  <c r="Y101" i="1"/>
  <c r="M96" i="1"/>
  <c r="V96" i="1"/>
  <c r="N96" i="1"/>
  <c r="S96" i="1"/>
  <c r="J97" i="2"/>
  <c r="K96" i="1"/>
  <c r="Q96" i="1"/>
  <c r="H97" i="2"/>
  <c r="H124" i="1"/>
  <c r="H123" i="1"/>
  <c r="K134" i="1"/>
  <c r="Q134" i="1"/>
  <c r="H138" i="2"/>
  <c r="M134" i="1"/>
  <c r="N134" i="1"/>
  <c r="S134" i="1"/>
  <c r="J138" i="2"/>
  <c r="M133" i="1"/>
  <c r="K133" i="1"/>
  <c r="Q133" i="1"/>
  <c r="H137" i="2"/>
  <c r="V126" i="1"/>
  <c r="V120" i="1"/>
  <c r="M142" i="1"/>
  <c r="N142" i="1"/>
  <c r="S142" i="1"/>
  <c r="J146" i="2"/>
  <c r="K140" i="1"/>
  <c r="Q140" i="1"/>
  <c r="H144" i="2"/>
  <c r="M140" i="1"/>
  <c r="N140" i="1"/>
  <c r="S140" i="1"/>
  <c r="J144" i="2"/>
  <c r="M139" i="1"/>
  <c r="K139" i="1"/>
  <c r="Q139" i="1"/>
  <c r="H143" i="2"/>
  <c r="K132" i="1"/>
  <c r="Q132" i="1"/>
  <c r="H136" i="2"/>
  <c r="M132" i="1"/>
  <c r="V132" i="1"/>
  <c r="N132" i="1"/>
  <c r="S132" i="1"/>
  <c r="J136" i="2"/>
  <c r="M131" i="1"/>
  <c r="K131" i="1"/>
  <c r="Q131" i="1"/>
  <c r="H135" i="2"/>
  <c r="M129" i="1"/>
  <c r="N129" i="1"/>
  <c r="S129" i="1"/>
  <c r="J133" i="2"/>
  <c r="K129" i="1"/>
  <c r="Q129" i="1"/>
  <c r="H133" i="2"/>
  <c r="K128" i="1"/>
  <c r="Q128" i="1"/>
  <c r="H132" i="2"/>
  <c r="M128" i="1"/>
  <c r="V128" i="1"/>
  <c r="N128" i="1"/>
  <c r="S128" i="1"/>
  <c r="J132" i="2"/>
  <c r="K118" i="1"/>
  <c r="Q118" i="1"/>
  <c r="H119" i="2"/>
  <c r="M118" i="1"/>
  <c r="N118" i="1"/>
  <c r="S118" i="1"/>
  <c r="J119" i="2"/>
  <c r="M100" i="1"/>
  <c r="N100" i="1"/>
  <c r="S100" i="1"/>
  <c r="J101" i="2"/>
  <c r="K100" i="1"/>
  <c r="Q100" i="1"/>
  <c r="H101" i="2"/>
  <c r="N97" i="1"/>
  <c r="S97" i="1"/>
  <c r="J98" i="2"/>
  <c r="K97" i="1"/>
  <c r="Q97" i="1"/>
  <c r="H98" i="2"/>
  <c r="M97" i="1"/>
  <c r="V97" i="1"/>
  <c r="R93" i="1"/>
  <c r="I94" i="2"/>
  <c r="Y93" i="1"/>
  <c r="M119" i="1"/>
  <c r="V116" i="1"/>
  <c r="AA111" i="1"/>
  <c r="V111" i="1"/>
  <c r="N111" i="1"/>
  <c r="S111" i="1"/>
  <c r="J112" i="2"/>
  <c r="V109" i="1"/>
  <c r="V108" i="1"/>
  <c r="AA103" i="1"/>
  <c r="V103" i="1"/>
  <c r="N103" i="1"/>
  <c r="S103" i="1"/>
  <c r="J104" i="2"/>
  <c r="V101" i="1"/>
  <c r="AA95" i="1"/>
  <c r="V95" i="1"/>
  <c r="N95" i="1"/>
  <c r="S95" i="1"/>
  <c r="J96" i="2"/>
  <c r="V93" i="1"/>
  <c r="AC90" i="1"/>
  <c r="M86" i="1"/>
  <c r="N86" i="1"/>
  <c r="S86" i="1"/>
  <c r="J87" i="2"/>
  <c r="K86" i="1"/>
  <c r="Q86" i="1"/>
  <c r="H87" i="2"/>
  <c r="R76" i="1"/>
  <c r="I76" i="2"/>
  <c r="Y76" i="1"/>
  <c r="N74" i="1"/>
  <c r="S74" i="1"/>
  <c r="J74" i="2"/>
  <c r="K74" i="1"/>
  <c r="Q74" i="1"/>
  <c r="H74" i="2"/>
  <c r="M74" i="1"/>
  <c r="M114" i="1"/>
  <c r="K111" i="1"/>
  <c r="Q111" i="1"/>
  <c r="H112" i="2"/>
  <c r="M106" i="1"/>
  <c r="K103" i="1"/>
  <c r="Q103" i="1"/>
  <c r="H104" i="2"/>
  <c r="Y99" i="1"/>
  <c r="M98" i="1"/>
  <c r="K95" i="1"/>
  <c r="Q95" i="1"/>
  <c r="H96" i="2"/>
  <c r="M92" i="1"/>
  <c r="V92" i="1"/>
  <c r="N92" i="1"/>
  <c r="S92" i="1"/>
  <c r="J93" i="2"/>
  <c r="Y91" i="1"/>
  <c r="N82" i="1"/>
  <c r="S82" i="1"/>
  <c r="J82" i="2"/>
  <c r="K82" i="1"/>
  <c r="Q82" i="1"/>
  <c r="H82" i="2"/>
  <c r="N78" i="1"/>
  <c r="S78" i="1"/>
  <c r="J78" i="2"/>
  <c r="K78" i="1"/>
  <c r="Q78" i="1"/>
  <c r="H78" i="2"/>
  <c r="M78" i="1"/>
  <c r="V78" i="1"/>
  <c r="O73" i="1"/>
  <c r="T73" i="1"/>
  <c r="K119" i="1"/>
  <c r="Q119" i="1"/>
  <c r="H120" i="2"/>
  <c r="V112" i="1"/>
  <c r="V104" i="1"/>
  <c r="AA90" i="1"/>
  <c r="O90" i="1"/>
  <c r="T90" i="1"/>
  <c r="AB90" i="1"/>
  <c r="M89" i="1"/>
  <c r="V89" i="1"/>
  <c r="N80" i="1"/>
  <c r="S80" i="1"/>
  <c r="J80" i="2"/>
  <c r="K80" i="1"/>
  <c r="Q80" i="1"/>
  <c r="H80" i="2"/>
  <c r="M80" i="1"/>
  <c r="V80" i="1"/>
  <c r="V117" i="1"/>
  <c r="AC111" i="1"/>
  <c r="M110" i="1"/>
  <c r="N109" i="1"/>
  <c r="S109" i="1"/>
  <c r="J110" i="2"/>
  <c r="K109" i="1"/>
  <c r="Q109" i="1"/>
  <c r="H110" i="2"/>
  <c r="AB103" i="1"/>
  <c r="AC103" i="1"/>
  <c r="M102" i="1"/>
  <c r="N101" i="1"/>
  <c r="S101" i="1"/>
  <c r="J102" i="2"/>
  <c r="K101" i="1"/>
  <c r="Q101" i="1"/>
  <c r="H102" i="2"/>
  <c r="AB95" i="1"/>
  <c r="AC95" i="1"/>
  <c r="M94" i="1"/>
  <c r="N93" i="1"/>
  <c r="S93" i="1"/>
  <c r="J94" i="2"/>
  <c r="K93" i="1"/>
  <c r="Q93" i="1"/>
  <c r="H94" i="2"/>
  <c r="I90" i="1"/>
  <c r="V86" i="1"/>
  <c r="V83" i="1"/>
  <c r="R83" i="1"/>
  <c r="I83" i="2"/>
  <c r="R82" i="1"/>
  <c r="I82" i="2"/>
  <c r="Y82" i="1"/>
  <c r="R72" i="1"/>
  <c r="I72" i="2"/>
  <c r="Y72" i="1"/>
  <c r="R70" i="1"/>
  <c r="I70" i="2"/>
  <c r="Y70" i="1"/>
  <c r="R66" i="1"/>
  <c r="I66" i="2"/>
  <c r="Y66" i="1"/>
  <c r="R62" i="1"/>
  <c r="I62" i="2"/>
  <c r="Y62" i="1"/>
  <c r="N89" i="1"/>
  <c r="S89" i="1"/>
  <c r="J90" i="2"/>
  <c r="V76" i="1"/>
  <c r="AB75" i="1"/>
  <c r="AC75" i="1"/>
  <c r="P75" i="1"/>
  <c r="U75" i="1"/>
  <c r="K75" i="2"/>
  <c r="I75" i="1"/>
  <c r="V72" i="1"/>
  <c r="V68" i="1"/>
  <c r="V64" i="1"/>
  <c r="M60" i="1"/>
  <c r="N60" i="1"/>
  <c r="S60" i="1"/>
  <c r="J60" i="2"/>
  <c r="K60" i="1"/>
  <c r="Q60" i="1"/>
  <c r="H60" i="2"/>
  <c r="Y58" i="1"/>
  <c r="R58" i="1"/>
  <c r="I58" i="2"/>
  <c r="M87" i="1"/>
  <c r="R81" i="1"/>
  <c r="I81" i="2"/>
  <c r="K81" i="1"/>
  <c r="Q81" i="1"/>
  <c r="H81" i="2"/>
  <c r="R77" i="1"/>
  <c r="I77" i="2"/>
  <c r="K77" i="1"/>
  <c r="Q77" i="1"/>
  <c r="H77" i="2"/>
  <c r="R73" i="1"/>
  <c r="I73" i="2"/>
  <c r="K73" i="1"/>
  <c r="Q73" i="1"/>
  <c r="H73" i="2"/>
  <c r="N68" i="1"/>
  <c r="S68" i="1"/>
  <c r="J68" i="2"/>
  <c r="K68" i="1"/>
  <c r="Q68" i="1"/>
  <c r="H68" i="2"/>
  <c r="N67" i="1"/>
  <c r="S67" i="1"/>
  <c r="J67" i="2"/>
  <c r="M67" i="1"/>
  <c r="K67" i="1"/>
  <c r="Q67" i="1"/>
  <c r="H67" i="2"/>
  <c r="N64" i="1"/>
  <c r="S64" i="1"/>
  <c r="J64" i="2"/>
  <c r="K64" i="1"/>
  <c r="Q64" i="1"/>
  <c r="H64" i="2"/>
  <c r="N63" i="1"/>
  <c r="S63" i="1"/>
  <c r="J63" i="2"/>
  <c r="M63" i="1"/>
  <c r="K63" i="1"/>
  <c r="Q63" i="1"/>
  <c r="H63" i="2"/>
  <c r="N57" i="1"/>
  <c r="S57" i="1"/>
  <c r="J57" i="2"/>
  <c r="M57" i="1"/>
  <c r="K57" i="1"/>
  <c r="Q57" i="1"/>
  <c r="H57" i="2"/>
  <c r="R55" i="1"/>
  <c r="I55" i="2"/>
  <c r="Y55" i="1"/>
  <c r="N53" i="1"/>
  <c r="S53" i="1"/>
  <c r="J53" i="2"/>
  <c r="K53" i="1"/>
  <c r="Q53" i="1"/>
  <c r="H53" i="2"/>
  <c r="M53" i="1"/>
  <c r="R51" i="1"/>
  <c r="I51" i="2"/>
  <c r="Y51" i="1"/>
  <c r="N49" i="1"/>
  <c r="S49" i="1"/>
  <c r="J49" i="2"/>
  <c r="K49" i="1"/>
  <c r="Q49" i="1"/>
  <c r="H49" i="2"/>
  <c r="M49" i="1"/>
  <c r="Y44" i="1"/>
  <c r="R44" i="1"/>
  <c r="I43" i="2"/>
  <c r="V44" i="1"/>
  <c r="V82" i="1"/>
  <c r="AB81" i="1"/>
  <c r="AC81" i="1"/>
  <c r="P81" i="1"/>
  <c r="U81" i="1"/>
  <c r="K81" i="2"/>
  <c r="I81" i="1"/>
  <c r="AB77" i="1"/>
  <c r="AC77" i="1"/>
  <c r="P77" i="1"/>
  <c r="U77" i="1"/>
  <c r="K77" i="2"/>
  <c r="I77" i="1"/>
  <c r="AB73" i="1"/>
  <c r="AC73" i="1"/>
  <c r="I73" i="1"/>
  <c r="V70" i="1"/>
  <c r="V66" i="1"/>
  <c r="V62" i="1"/>
  <c r="V60" i="1"/>
  <c r="N76" i="1"/>
  <c r="S76" i="1"/>
  <c r="J76" i="2"/>
  <c r="K76" i="1"/>
  <c r="Q76" i="1"/>
  <c r="H76" i="2"/>
  <c r="N72" i="1"/>
  <c r="S72" i="1"/>
  <c r="J72" i="2"/>
  <c r="K72" i="1"/>
  <c r="Q72" i="1"/>
  <c r="H72" i="2"/>
  <c r="N70" i="1"/>
  <c r="S70" i="1"/>
  <c r="J70" i="2"/>
  <c r="K70" i="1"/>
  <c r="Q70" i="1"/>
  <c r="H70" i="2"/>
  <c r="N69" i="1"/>
  <c r="S69" i="1"/>
  <c r="J69" i="2"/>
  <c r="M69" i="1"/>
  <c r="K69" i="1"/>
  <c r="Q69" i="1"/>
  <c r="H69" i="2"/>
  <c r="AB68" i="1"/>
  <c r="I68" i="1"/>
  <c r="Z68" i="1"/>
  <c r="AA68" i="1"/>
  <c r="N66" i="1"/>
  <c r="S66" i="1"/>
  <c r="J66" i="2"/>
  <c r="K66" i="1"/>
  <c r="Q66" i="1"/>
  <c r="H66" i="2"/>
  <c r="N65" i="1"/>
  <c r="S65" i="1"/>
  <c r="J65" i="2"/>
  <c r="M65" i="1"/>
  <c r="K65" i="1"/>
  <c r="Q65" i="1"/>
  <c r="H65" i="2"/>
  <c r="AB64" i="1"/>
  <c r="I64" i="1"/>
  <c r="Z64" i="1"/>
  <c r="AA64" i="1"/>
  <c r="N62" i="1"/>
  <c r="S62" i="1"/>
  <c r="J62" i="2"/>
  <c r="K62" i="1"/>
  <c r="Q62" i="1"/>
  <c r="H62" i="2"/>
  <c r="N38" i="1"/>
  <c r="S38" i="1"/>
  <c r="J37" i="2"/>
  <c r="K38" i="1"/>
  <c r="Q38" i="1"/>
  <c r="H37" i="2"/>
  <c r="M38" i="1"/>
  <c r="Y35" i="1"/>
  <c r="R35" i="1"/>
  <c r="I34" i="2"/>
  <c r="M61" i="1"/>
  <c r="M59" i="1"/>
  <c r="V55" i="1"/>
  <c r="AB54" i="1"/>
  <c r="AC54" i="1"/>
  <c r="I54" i="1"/>
  <c r="V51" i="1"/>
  <c r="AB50" i="1"/>
  <c r="AC50" i="1"/>
  <c r="I50" i="1"/>
  <c r="M45" i="1"/>
  <c r="N45" i="1"/>
  <c r="S45" i="1"/>
  <c r="J44" i="2"/>
  <c r="K42" i="1"/>
  <c r="Q42" i="1"/>
  <c r="H41" i="2"/>
  <c r="K40" i="1"/>
  <c r="Q40" i="1"/>
  <c r="H39" i="2"/>
  <c r="M40" i="1"/>
  <c r="M39" i="1"/>
  <c r="N39" i="1"/>
  <c r="S39" i="1"/>
  <c r="J38" i="2"/>
  <c r="M37" i="1"/>
  <c r="N37" i="1"/>
  <c r="S37" i="1"/>
  <c r="J36" i="2"/>
  <c r="K37" i="1"/>
  <c r="Q37" i="1"/>
  <c r="H36" i="2"/>
  <c r="V35" i="1"/>
  <c r="K31" i="1"/>
  <c r="Q31" i="1"/>
  <c r="H30" i="2"/>
  <c r="M31" i="1"/>
  <c r="V31" i="1"/>
  <c r="N31" i="1"/>
  <c r="S31" i="1"/>
  <c r="J30" i="2"/>
  <c r="R56" i="1"/>
  <c r="I56" i="2"/>
  <c r="K56" i="1"/>
  <c r="Q56" i="1"/>
  <c r="H56" i="2"/>
  <c r="AA54" i="1"/>
  <c r="O54" i="1"/>
  <c r="T54" i="1"/>
  <c r="V54" i="1"/>
  <c r="N54" i="1"/>
  <c r="S54" i="1"/>
  <c r="J54" i="2"/>
  <c r="R52" i="1"/>
  <c r="I52" i="2"/>
  <c r="K52" i="1"/>
  <c r="Q52" i="1"/>
  <c r="H52" i="2"/>
  <c r="AA50" i="1"/>
  <c r="O50" i="1"/>
  <c r="T50" i="1"/>
  <c r="V50" i="1"/>
  <c r="N50" i="1"/>
  <c r="S50" i="1"/>
  <c r="J50" i="2"/>
  <c r="R48" i="1"/>
  <c r="I48" i="2"/>
  <c r="K48" i="1"/>
  <c r="Q48" i="1"/>
  <c r="H48" i="2"/>
  <c r="K45" i="1"/>
  <c r="Q45" i="1"/>
  <c r="H44" i="2"/>
  <c r="N42" i="1"/>
  <c r="S42" i="1"/>
  <c r="J41" i="2"/>
  <c r="N40" i="1"/>
  <c r="S40" i="1"/>
  <c r="J39" i="2"/>
  <c r="M34" i="1"/>
  <c r="V34" i="1"/>
  <c r="K34" i="1"/>
  <c r="Q34" i="1"/>
  <c r="H33" i="2"/>
  <c r="N34" i="1"/>
  <c r="S34" i="1"/>
  <c r="J33" i="2"/>
  <c r="K61" i="1"/>
  <c r="Q61" i="1"/>
  <c r="H61" i="2"/>
  <c r="K59" i="1"/>
  <c r="Q59" i="1"/>
  <c r="H59" i="2"/>
  <c r="V57" i="1"/>
  <c r="AB56" i="1"/>
  <c r="AC56" i="1"/>
  <c r="I56" i="1"/>
  <c r="AB52" i="1"/>
  <c r="AC52" i="1"/>
  <c r="I52" i="1"/>
  <c r="V49" i="1"/>
  <c r="AB48" i="1"/>
  <c r="AC48" i="1"/>
  <c r="I48" i="1"/>
  <c r="M43" i="1"/>
  <c r="V43" i="1"/>
  <c r="K43" i="1"/>
  <c r="Q43" i="1"/>
  <c r="H42" i="2"/>
  <c r="M42" i="1"/>
  <c r="V42" i="1"/>
  <c r="M41" i="1"/>
  <c r="K41" i="1"/>
  <c r="Q41" i="1"/>
  <c r="H40" i="2"/>
  <c r="M36" i="1"/>
  <c r="N36" i="1"/>
  <c r="S36" i="1"/>
  <c r="J35" i="2"/>
  <c r="AA56" i="1"/>
  <c r="O56" i="1"/>
  <c r="T56" i="1"/>
  <c r="V56" i="1"/>
  <c r="N56" i="1"/>
  <c r="S56" i="1"/>
  <c r="J56" i="2"/>
  <c r="N55" i="1"/>
  <c r="S55" i="1"/>
  <c r="J55" i="2"/>
  <c r="K55" i="1"/>
  <c r="Q55" i="1"/>
  <c r="H55" i="2"/>
  <c r="AA52" i="1"/>
  <c r="O52" i="1"/>
  <c r="T52" i="1"/>
  <c r="V52" i="1"/>
  <c r="N52" i="1"/>
  <c r="S52" i="1"/>
  <c r="J52" i="2"/>
  <c r="N51" i="1"/>
  <c r="S51" i="1"/>
  <c r="J51" i="2"/>
  <c r="K51" i="1"/>
  <c r="Q51" i="1"/>
  <c r="H51" i="2"/>
  <c r="AA48" i="1"/>
  <c r="O48" i="1"/>
  <c r="T48" i="1"/>
  <c r="V48" i="1"/>
  <c r="N48" i="1"/>
  <c r="S48" i="1"/>
  <c r="J48" i="2"/>
  <c r="K44" i="1"/>
  <c r="Q44" i="1"/>
  <c r="H43" i="2"/>
  <c r="N44" i="1"/>
  <c r="S44" i="1"/>
  <c r="J43" i="2"/>
  <c r="N41" i="1"/>
  <c r="S41" i="1"/>
  <c r="J40" i="2"/>
  <c r="V36" i="1"/>
  <c r="K35" i="1"/>
  <c r="Q35" i="1"/>
  <c r="H34" i="2"/>
  <c r="N35" i="1"/>
  <c r="S35" i="1"/>
  <c r="J34" i="2"/>
  <c r="R29" i="1"/>
  <c r="I28" i="2"/>
  <c r="Y29" i="1"/>
  <c r="M21" i="1"/>
  <c r="K21" i="1"/>
  <c r="Q21" i="1"/>
  <c r="H20" i="2"/>
  <c r="N21" i="1"/>
  <c r="S21" i="1"/>
  <c r="J20" i="2"/>
  <c r="M15" i="1"/>
  <c r="N15" i="1"/>
  <c r="S15" i="1"/>
  <c r="J14" i="2"/>
  <c r="K15" i="1"/>
  <c r="Q15" i="1"/>
  <c r="H14" i="2"/>
  <c r="N14" i="1"/>
  <c r="S14" i="1"/>
  <c r="J13" i="2"/>
  <c r="K14" i="1"/>
  <c r="Q14" i="1"/>
  <c r="H13" i="2"/>
  <c r="M14" i="1"/>
  <c r="V14" i="1"/>
  <c r="M12" i="1"/>
  <c r="V12" i="1"/>
  <c r="M30" i="1"/>
  <c r="K30" i="1"/>
  <c r="Q30" i="1"/>
  <c r="H29" i="2"/>
  <c r="V29" i="1"/>
  <c r="N28" i="1"/>
  <c r="S28" i="1"/>
  <c r="J27" i="2"/>
  <c r="K28" i="1"/>
  <c r="Q28" i="1"/>
  <c r="H27" i="2"/>
  <c r="M28" i="1"/>
  <c r="N20" i="1"/>
  <c r="S20" i="1"/>
  <c r="J19" i="2"/>
  <c r="K20" i="1"/>
  <c r="Q20" i="1"/>
  <c r="H19" i="2"/>
  <c r="M20" i="1"/>
  <c r="M25" i="1"/>
  <c r="K25" i="1"/>
  <c r="Q25" i="1"/>
  <c r="H24" i="2"/>
  <c r="K24" i="1"/>
  <c r="Q24" i="1"/>
  <c r="H23" i="2"/>
  <c r="M24" i="1"/>
  <c r="N12" i="1"/>
  <c r="S12" i="1"/>
  <c r="J11" i="2"/>
  <c r="K12" i="1"/>
  <c r="Q12" i="1"/>
  <c r="H11" i="2"/>
  <c r="N10" i="1"/>
  <c r="S10" i="1"/>
  <c r="J9" i="2"/>
  <c r="K10" i="1"/>
  <c r="Q10" i="1"/>
  <c r="H9" i="2"/>
  <c r="M10" i="1"/>
  <c r="N26" i="1"/>
  <c r="S26" i="1"/>
  <c r="J25" i="2"/>
  <c r="K26" i="1"/>
  <c r="Q26" i="1"/>
  <c r="H25" i="2"/>
  <c r="M26" i="1"/>
  <c r="V26" i="1"/>
  <c r="K8" i="1"/>
  <c r="Q8" i="1"/>
  <c r="H7" i="2"/>
  <c r="M8" i="1"/>
  <c r="M17" i="1"/>
  <c r="K17" i="1"/>
  <c r="Q17" i="1"/>
  <c r="H16" i="2"/>
  <c r="N17" i="1"/>
  <c r="S17" i="1"/>
  <c r="J16" i="2"/>
  <c r="N16" i="1"/>
  <c r="S16" i="1"/>
  <c r="J15" i="2"/>
  <c r="K16" i="1"/>
  <c r="Q16" i="1"/>
  <c r="H15" i="2"/>
  <c r="M16" i="1"/>
  <c r="R27" i="1"/>
  <c r="I26" i="2"/>
  <c r="Y27" i="1"/>
  <c r="M19" i="1"/>
  <c r="N19" i="1"/>
  <c r="S19" i="1"/>
  <c r="J18" i="2"/>
  <c r="K19" i="1"/>
  <c r="Q19" i="1"/>
  <c r="H18" i="2"/>
  <c r="N18" i="1"/>
  <c r="S18" i="1"/>
  <c r="J17" i="2"/>
  <c r="K18" i="1"/>
  <c r="Q18" i="1"/>
  <c r="H17" i="2"/>
  <c r="M18" i="1"/>
  <c r="V18" i="1"/>
  <c r="AB13" i="1"/>
  <c r="AC13" i="1"/>
  <c r="I13" i="1"/>
  <c r="AB9" i="1"/>
  <c r="AC9" i="1"/>
  <c r="I9" i="1"/>
  <c r="V28" i="1"/>
  <c r="K27" i="1"/>
  <c r="Q27" i="1"/>
  <c r="H26" i="2"/>
  <c r="AA13" i="1"/>
  <c r="O13" i="1"/>
  <c r="T13" i="1"/>
  <c r="V13" i="1"/>
  <c r="N13" i="1"/>
  <c r="S13" i="1"/>
  <c r="J12" i="2"/>
  <c r="R11" i="1"/>
  <c r="I10" i="2"/>
  <c r="K11" i="1"/>
  <c r="Q11" i="1"/>
  <c r="H10" i="2"/>
  <c r="AA9" i="1"/>
  <c r="O9" i="1"/>
  <c r="T9" i="1"/>
  <c r="V9" i="1"/>
  <c r="N9" i="1"/>
  <c r="S9" i="1"/>
  <c r="J8" i="2"/>
  <c r="R7" i="1"/>
  <c r="K7" i="1"/>
  <c r="Q7" i="1"/>
  <c r="AB11" i="1"/>
  <c r="AC11" i="1"/>
  <c r="I11" i="1"/>
  <c r="V8" i="1"/>
  <c r="AB7" i="1"/>
  <c r="AC7" i="1"/>
  <c r="O7" i="1"/>
  <c r="T7" i="1"/>
  <c r="I7" i="1"/>
  <c r="R13" i="1"/>
  <c r="I12" i="2"/>
  <c r="K13" i="1"/>
  <c r="Q13" i="1"/>
  <c r="H12" i="2"/>
  <c r="AA11" i="1"/>
  <c r="O11" i="1"/>
  <c r="T11" i="1"/>
  <c r="V11" i="1"/>
  <c r="N11" i="1"/>
  <c r="S11" i="1"/>
  <c r="J10" i="2"/>
  <c r="R9" i="1"/>
  <c r="I8" i="2"/>
  <c r="K9" i="1"/>
  <c r="Q9" i="1"/>
  <c r="H8" i="2"/>
  <c r="AA7" i="1"/>
  <c r="V7" i="1"/>
  <c r="N7" i="1"/>
  <c r="S7" i="1"/>
  <c r="Y71" i="1"/>
  <c r="R71" i="1"/>
  <c r="I71" i="2"/>
  <c r="V71" i="1"/>
  <c r="Z111" i="1"/>
  <c r="I111" i="1"/>
  <c r="O111" i="1"/>
  <c r="T111" i="1"/>
  <c r="P73" i="1"/>
  <c r="U73" i="1"/>
  <c r="K73" i="2"/>
  <c r="P9" i="1"/>
  <c r="U9" i="1"/>
  <c r="K8" i="2"/>
  <c r="AB111" i="1"/>
  <c r="P90" i="1"/>
  <c r="U90" i="1"/>
  <c r="K91" i="2"/>
  <c r="Z143" i="1"/>
  <c r="AB143" i="1"/>
  <c r="Y79" i="1"/>
  <c r="V79" i="1"/>
  <c r="R79" i="1"/>
  <c r="I79" i="2"/>
  <c r="R107" i="1"/>
  <c r="I108" i="2"/>
  <c r="V107" i="1"/>
  <c r="V115" i="1"/>
  <c r="R115" i="1"/>
  <c r="I116" i="2"/>
  <c r="Z103" i="1"/>
  <c r="O103" i="1"/>
  <c r="T103" i="1"/>
  <c r="AA143" i="1"/>
  <c r="O143" i="1"/>
  <c r="T143" i="1"/>
  <c r="I103" i="1"/>
  <c r="Z95" i="1"/>
  <c r="O95" i="1"/>
  <c r="I95" i="1"/>
  <c r="I6" i="2"/>
  <c r="Y30" i="1"/>
  <c r="R30" i="1"/>
  <c r="I29" i="2"/>
  <c r="V30" i="1"/>
  <c r="R40" i="1"/>
  <c r="I39" i="2"/>
  <c r="Y40" i="1"/>
  <c r="AB91" i="1"/>
  <c r="AC91" i="1"/>
  <c r="Z91" i="1"/>
  <c r="AA91" i="1"/>
  <c r="O91" i="1"/>
  <c r="T91" i="1"/>
  <c r="I91" i="1"/>
  <c r="H153" i="2"/>
  <c r="H152" i="2"/>
  <c r="Y134" i="1"/>
  <c r="R134" i="1"/>
  <c r="I138" i="2"/>
  <c r="R105" i="1"/>
  <c r="I106" i="2"/>
  <c r="Y105" i="1"/>
  <c r="Y138" i="1"/>
  <c r="R138" i="1"/>
  <c r="I142" i="2"/>
  <c r="Y130" i="1"/>
  <c r="R130" i="1"/>
  <c r="I134" i="2"/>
  <c r="Y135" i="1"/>
  <c r="V135" i="1"/>
  <c r="R135" i="1"/>
  <c r="I139" i="2"/>
  <c r="N24" i="1"/>
  <c r="S24" i="1"/>
  <c r="J23" i="2"/>
  <c r="R24" i="1"/>
  <c r="I23" i="2"/>
  <c r="O24" i="1"/>
  <c r="T24" i="1"/>
  <c r="Y24" i="1"/>
  <c r="AA29" i="1"/>
  <c r="AC29" i="1"/>
  <c r="I29" i="1"/>
  <c r="Z29" i="1"/>
  <c r="AB29" i="1"/>
  <c r="R53" i="1"/>
  <c r="I53" i="2"/>
  <c r="Y53" i="1"/>
  <c r="I58" i="1"/>
  <c r="AB58" i="1"/>
  <c r="AC58" i="1"/>
  <c r="Z58" i="1"/>
  <c r="AA58" i="1"/>
  <c r="AB107" i="1"/>
  <c r="AC107" i="1"/>
  <c r="Z107" i="1"/>
  <c r="AA107" i="1"/>
  <c r="I107" i="1"/>
  <c r="R74" i="1"/>
  <c r="I74" i="2"/>
  <c r="Y74" i="1"/>
  <c r="R97" i="1"/>
  <c r="I98" i="2"/>
  <c r="Y97" i="1"/>
  <c r="Y19" i="1"/>
  <c r="V19" i="1"/>
  <c r="R19" i="1"/>
  <c r="I18" i="2"/>
  <c r="R26" i="1"/>
  <c r="I25" i="2"/>
  <c r="Y26" i="1"/>
  <c r="H32" i="2"/>
  <c r="H31" i="2"/>
  <c r="J84" i="2"/>
  <c r="J85" i="2"/>
  <c r="Y41" i="1"/>
  <c r="R41" i="1"/>
  <c r="I40" i="2"/>
  <c r="Y43" i="1"/>
  <c r="R43" i="1"/>
  <c r="I42" i="2"/>
  <c r="V53" i="1"/>
  <c r="Y37" i="1"/>
  <c r="V37" i="1"/>
  <c r="R37" i="1"/>
  <c r="I36" i="2"/>
  <c r="R59" i="1"/>
  <c r="I59" i="2"/>
  <c r="V59" i="1"/>
  <c r="Y59" i="1"/>
  <c r="R38" i="1"/>
  <c r="I37" i="2"/>
  <c r="Y38" i="1"/>
  <c r="V38" i="1"/>
  <c r="R63" i="1"/>
  <c r="I63" i="2"/>
  <c r="V63" i="1"/>
  <c r="Y63" i="1"/>
  <c r="R87" i="1"/>
  <c r="I88" i="2"/>
  <c r="Y87" i="1"/>
  <c r="AB66" i="1"/>
  <c r="I66" i="1"/>
  <c r="Z66" i="1"/>
  <c r="AA66" i="1"/>
  <c r="AC66" i="1"/>
  <c r="I72" i="1"/>
  <c r="Z72" i="1"/>
  <c r="AA72" i="1"/>
  <c r="AB72" i="1"/>
  <c r="AC72" i="1"/>
  <c r="R89" i="1"/>
  <c r="I90" i="2"/>
  <c r="Y89" i="1"/>
  <c r="V94" i="1"/>
  <c r="R94" i="1"/>
  <c r="I95" i="2"/>
  <c r="Y94" i="1"/>
  <c r="R80" i="1"/>
  <c r="I80" i="2"/>
  <c r="Y80" i="1"/>
  <c r="AB99" i="1"/>
  <c r="AC99" i="1"/>
  <c r="Z99" i="1"/>
  <c r="AA99" i="1"/>
  <c r="O99" i="1"/>
  <c r="T99" i="1"/>
  <c r="I99" i="1"/>
  <c r="R119" i="1"/>
  <c r="I120" i="2"/>
  <c r="V119" i="1"/>
  <c r="Y119" i="1"/>
  <c r="Y100" i="1"/>
  <c r="R100" i="1"/>
  <c r="I101" i="2"/>
  <c r="Y131" i="1"/>
  <c r="R131" i="1"/>
  <c r="I135" i="2"/>
  <c r="V131" i="1"/>
  <c r="Y140" i="1"/>
  <c r="R140" i="1"/>
  <c r="I144" i="2"/>
  <c r="Y142" i="1"/>
  <c r="R142" i="1"/>
  <c r="I146" i="2"/>
  <c r="Y96" i="1"/>
  <c r="R96" i="1"/>
  <c r="I97" i="2"/>
  <c r="Y108" i="1"/>
  <c r="R108" i="1"/>
  <c r="I109" i="2"/>
  <c r="J148" i="2"/>
  <c r="J149" i="2"/>
  <c r="J150" i="2"/>
  <c r="J151" i="2"/>
  <c r="R113" i="1"/>
  <c r="I114" i="2"/>
  <c r="Y113" i="1"/>
  <c r="Y121" i="1"/>
  <c r="R121" i="1"/>
  <c r="I122" i="2"/>
  <c r="R117" i="1"/>
  <c r="I118" i="2"/>
  <c r="Y117" i="1"/>
  <c r="R16" i="1"/>
  <c r="I15" i="2"/>
  <c r="Y16" i="1"/>
  <c r="R10" i="1"/>
  <c r="I9" i="2"/>
  <c r="Y10" i="1"/>
  <c r="R20" i="1"/>
  <c r="I19" i="2"/>
  <c r="Y20" i="1"/>
  <c r="Y34" i="1"/>
  <c r="R34" i="1"/>
  <c r="I33" i="2"/>
  <c r="AA35" i="1"/>
  <c r="I35" i="1"/>
  <c r="Z35" i="1"/>
  <c r="AB35" i="1"/>
  <c r="AC35" i="1"/>
  <c r="R69" i="1"/>
  <c r="I69" i="2"/>
  <c r="V69" i="1"/>
  <c r="Y69" i="1"/>
  <c r="J6" i="2"/>
  <c r="P7" i="1"/>
  <c r="U7" i="1"/>
  <c r="P13" i="1"/>
  <c r="U13" i="1"/>
  <c r="K12" i="2"/>
  <c r="AB27" i="1"/>
  <c r="AA27" i="1"/>
  <c r="Z27" i="1"/>
  <c r="I27" i="1"/>
  <c r="AC27" i="1"/>
  <c r="Y17" i="1"/>
  <c r="R17" i="1"/>
  <c r="I16" i="2"/>
  <c r="V17" i="1"/>
  <c r="R14" i="1"/>
  <c r="I13" i="2"/>
  <c r="Y14" i="1"/>
  <c r="Y21" i="1"/>
  <c r="R21" i="1"/>
  <c r="I20" i="2"/>
  <c r="V21" i="1"/>
  <c r="V41" i="1"/>
  <c r="Y42" i="1"/>
  <c r="R42" i="1"/>
  <c r="I41" i="2"/>
  <c r="J46" i="2"/>
  <c r="J45" i="2"/>
  <c r="V40" i="1"/>
  <c r="H84" i="2"/>
  <c r="H85" i="2"/>
  <c r="P50" i="1"/>
  <c r="U50" i="1"/>
  <c r="K50" i="2"/>
  <c r="P54" i="1"/>
  <c r="U54" i="1"/>
  <c r="K54" i="2"/>
  <c r="R61" i="1"/>
  <c r="I61" i="2"/>
  <c r="V61" i="1"/>
  <c r="Y61" i="1"/>
  <c r="O64" i="1"/>
  <c r="AA44" i="1"/>
  <c r="I44" i="1"/>
  <c r="Z44" i="1"/>
  <c r="AC44" i="1"/>
  <c r="AB44" i="1"/>
  <c r="I51" i="1"/>
  <c r="Z51" i="1"/>
  <c r="AA51" i="1"/>
  <c r="AB51" i="1"/>
  <c r="AC51" i="1"/>
  <c r="R57" i="1"/>
  <c r="I57" i="2"/>
  <c r="Y57" i="1"/>
  <c r="R67" i="1"/>
  <c r="I67" i="2"/>
  <c r="V67" i="1"/>
  <c r="Y67" i="1"/>
  <c r="V87" i="1"/>
  <c r="V102" i="1"/>
  <c r="R102" i="1"/>
  <c r="I103" i="2"/>
  <c r="Y102" i="1"/>
  <c r="V105" i="1"/>
  <c r="Y92" i="1"/>
  <c r="R92" i="1"/>
  <c r="I93" i="2"/>
  <c r="R114" i="1"/>
  <c r="I115" i="2"/>
  <c r="Y114" i="1"/>
  <c r="V114" i="1"/>
  <c r="V100" i="1"/>
  <c r="I93" i="1"/>
  <c r="Z93" i="1"/>
  <c r="AA93" i="1"/>
  <c r="AB93" i="1"/>
  <c r="AC93" i="1"/>
  <c r="J152" i="2"/>
  <c r="J153" i="2"/>
  <c r="Y133" i="1"/>
  <c r="V133" i="1"/>
  <c r="R133" i="1"/>
  <c r="I137" i="2"/>
  <c r="K88" i="1"/>
  <c r="Q88" i="1"/>
  <c r="H89" i="2"/>
  <c r="H123" i="2"/>
  <c r="M88" i="1"/>
  <c r="N88" i="1"/>
  <c r="S88" i="1"/>
  <c r="J89" i="2"/>
  <c r="J123" i="2"/>
  <c r="I101" i="1"/>
  <c r="Z101" i="1"/>
  <c r="AA101" i="1"/>
  <c r="AB101" i="1"/>
  <c r="AC101" i="1"/>
  <c r="Y126" i="1"/>
  <c r="R126" i="1"/>
  <c r="I130" i="2"/>
  <c r="Y127" i="1"/>
  <c r="R127" i="1"/>
  <c r="I131" i="2"/>
  <c r="V127" i="1"/>
  <c r="Y137" i="1"/>
  <c r="R137" i="1"/>
  <c r="I141" i="2"/>
  <c r="V137" i="1"/>
  <c r="V138" i="1"/>
  <c r="Y112" i="1"/>
  <c r="R112" i="1"/>
  <c r="I113" i="2"/>
  <c r="V134" i="1"/>
  <c r="Y104" i="1"/>
  <c r="R104" i="1"/>
  <c r="I105" i="2"/>
  <c r="Y116" i="1"/>
  <c r="R116" i="1"/>
  <c r="I117" i="2"/>
  <c r="Y136" i="1"/>
  <c r="R136" i="1"/>
  <c r="I140" i="2"/>
  <c r="AA141" i="1"/>
  <c r="AB141" i="1"/>
  <c r="AC141" i="1"/>
  <c r="I141" i="1"/>
  <c r="Z141" i="1"/>
  <c r="Y45" i="1"/>
  <c r="R45" i="1"/>
  <c r="I44" i="2"/>
  <c r="V45" i="1"/>
  <c r="R98" i="1"/>
  <c r="I99" i="2"/>
  <c r="Y98" i="1"/>
  <c r="V98" i="1"/>
  <c r="P11" i="1"/>
  <c r="U11" i="1"/>
  <c r="K10" i="2"/>
  <c r="I5" i="3"/>
  <c r="H6" i="2"/>
  <c r="V10" i="1"/>
  <c r="R18" i="1"/>
  <c r="I17" i="2"/>
  <c r="Y18" i="1"/>
  <c r="V16" i="1"/>
  <c r="N8" i="1"/>
  <c r="S8" i="1"/>
  <c r="J7" i="2"/>
  <c r="R8" i="1"/>
  <c r="I7" i="2"/>
  <c r="O8" i="1"/>
  <c r="T8" i="1"/>
  <c r="Y8" i="1"/>
  <c r="R12" i="1"/>
  <c r="I11" i="2"/>
  <c r="Y12" i="1"/>
  <c r="V20" i="1"/>
  <c r="Y25" i="1"/>
  <c r="N25" i="1"/>
  <c r="S25" i="1"/>
  <c r="J24" i="2"/>
  <c r="V25" i="1"/>
  <c r="R25" i="1"/>
  <c r="I24" i="2"/>
  <c r="O25" i="1"/>
  <c r="T25" i="1"/>
  <c r="R28" i="1"/>
  <c r="I27" i="2"/>
  <c r="Y28" i="1"/>
  <c r="Y15" i="1"/>
  <c r="V15" i="1"/>
  <c r="R15" i="1"/>
  <c r="I14" i="2"/>
  <c r="V24" i="1"/>
  <c r="R36" i="1"/>
  <c r="I35" i="2"/>
  <c r="Y36" i="1"/>
  <c r="P48" i="1"/>
  <c r="U48" i="1"/>
  <c r="K48" i="2"/>
  <c r="P52" i="1"/>
  <c r="U52" i="1"/>
  <c r="K52" i="2"/>
  <c r="P56" i="1"/>
  <c r="U56" i="1"/>
  <c r="K56" i="2"/>
  <c r="H45" i="2"/>
  <c r="H46" i="2"/>
  <c r="Y31" i="1"/>
  <c r="R31" i="1"/>
  <c r="I30" i="2"/>
  <c r="Y39" i="1"/>
  <c r="R39" i="1"/>
  <c r="I38" i="2"/>
  <c r="V39" i="1"/>
  <c r="R65" i="1"/>
  <c r="I65" i="2"/>
  <c r="V65" i="1"/>
  <c r="Y65" i="1"/>
  <c r="O68" i="1"/>
  <c r="V74" i="1"/>
  <c r="R49" i="1"/>
  <c r="I49" i="2"/>
  <c r="Y49" i="1"/>
  <c r="I55" i="1"/>
  <c r="Z55" i="1"/>
  <c r="AA55" i="1"/>
  <c r="O55" i="1"/>
  <c r="T55" i="1"/>
  <c r="AB55" i="1"/>
  <c r="AC55" i="1"/>
  <c r="Y60" i="1"/>
  <c r="R60" i="1"/>
  <c r="I60" i="2"/>
  <c r="AB62" i="1"/>
  <c r="I62" i="1"/>
  <c r="Z62" i="1"/>
  <c r="AA62" i="1"/>
  <c r="AC62" i="1"/>
  <c r="I70" i="1"/>
  <c r="Z70" i="1"/>
  <c r="AA70" i="1"/>
  <c r="AC70" i="1"/>
  <c r="AB70" i="1"/>
  <c r="I82" i="1"/>
  <c r="Z82" i="1"/>
  <c r="AA82" i="1"/>
  <c r="AB82" i="1"/>
  <c r="AC82" i="1"/>
  <c r="V110" i="1"/>
  <c r="R110" i="1"/>
  <c r="I111" i="2"/>
  <c r="Y110" i="1"/>
  <c r="R78" i="1"/>
  <c r="I78" i="2"/>
  <c r="Y78" i="1"/>
  <c r="R106" i="1"/>
  <c r="I107" i="2"/>
  <c r="Y106" i="1"/>
  <c r="V106" i="1"/>
  <c r="AB115" i="1"/>
  <c r="AC115" i="1"/>
  <c r="Z115" i="1"/>
  <c r="AA115" i="1"/>
  <c r="O115" i="1"/>
  <c r="T115" i="1"/>
  <c r="I115" i="1"/>
  <c r="I76" i="1"/>
  <c r="Z76" i="1"/>
  <c r="AA76" i="1"/>
  <c r="O76" i="1"/>
  <c r="T76" i="1"/>
  <c r="AB76" i="1"/>
  <c r="AC76" i="1"/>
  <c r="Y86" i="1"/>
  <c r="R86" i="1"/>
  <c r="I87" i="2"/>
  <c r="Y118" i="1"/>
  <c r="V118" i="1"/>
  <c r="R118" i="1"/>
  <c r="I119" i="2"/>
  <c r="Y128" i="1"/>
  <c r="R128" i="1"/>
  <c r="I132" i="2"/>
  <c r="Y129" i="1"/>
  <c r="R129" i="1"/>
  <c r="I133" i="2"/>
  <c r="V129" i="1"/>
  <c r="Y132" i="1"/>
  <c r="R132" i="1"/>
  <c r="I136" i="2"/>
  <c r="Y139" i="1"/>
  <c r="R139" i="1"/>
  <c r="I143" i="2"/>
  <c r="V139" i="1"/>
  <c r="V140" i="1"/>
  <c r="Y120" i="1"/>
  <c r="R120" i="1"/>
  <c r="I121" i="2"/>
  <c r="H149" i="2"/>
  <c r="H151" i="2"/>
  <c r="H148" i="2"/>
  <c r="H150" i="2"/>
  <c r="V130" i="1"/>
  <c r="V142" i="1"/>
  <c r="P83" i="1"/>
  <c r="U83" i="1"/>
  <c r="K83" i="2"/>
  <c r="I109" i="1"/>
  <c r="Z109" i="1"/>
  <c r="AA109" i="1"/>
  <c r="AB109" i="1"/>
  <c r="AC109" i="1"/>
  <c r="P143" i="1"/>
  <c r="U143" i="1"/>
  <c r="K147" i="2"/>
  <c r="T95" i="1"/>
  <c r="P95" i="1"/>
  <c r="U95" i="1"/>
  <c r="K96" i="2"/>
  <c r="O27" i="1"/>
  <c r="T27" i="1"/>
  <c r="O35" i="1"/>
  <c r="P35" i="1"/>
  <c r="U35" i="1"/>
  <c r="K34" i="2"/>
  <c r="T35" i="1"/>
  <c r="Z79" i="1"/>
  <c r="AB79" i="1"/>
  <c r="I79" i="1"/>
  <c r="AC79" i="1"/>
  <c r="AA79" i="1"/>
  <c r="O79" i="1"/>
  <c r="T79" i="1"/>
  <c r="P103" i="1"/>
  <c r="U103" i="1"/>
  <c r="K104" i="2"/>
  <c r="I85" i="2"/>
  <c r="O109" i="1"/>
  <c r="T109" i="1"/>
  <c r="P76" i="1"/>
  <c r="U76" i="1"/>
  <c r="K76" i="2"/>
  <c r="P115" i="1"/>
  <c r="U115" i="1"/>
  <c r="K116" i="2"/>
  <c r="O82" i="1"/>
  <c r="T82" i="1"/>
  <c r="P55" i="1"/>
  <c r="U55" i="1"/>
  <c r="K55" i="2"/>
  <c r="O93" i="1"/>
  <c r="T93" i="1"/>
  <c r="J124" i="2"/>
  <c r="AA71" i="1"/>
  <c r="Z71" i="1"/>
  <c r="O71" i="1"/>
  <c r="T71" i="1"/>
  <c r="AB71" i="1"/>
  <c r="AC71" i="1"/>
  <c r="I71" i="1"/>
  <c r="P99" i="1"/>
  <c r="U99" i="1"/>
  <c r="K100" i="2"/>
  <c r="O107" i="1"/>
  <c r="T107" i="1"/>
  <c r="O58" i="1"/>
  <c r="T58" i="1"/>
  <c r="P91" i="1"/>
  <c r="U91" i="1"/>
  <c r="K92" i="2"/>
  <c r="P111" i="1"/>
  <c r="U111" i="1"/>
  <c r="K112" i="2"/>
  <c r="AC129" i="1"/>
  <c r="I129" i="1"/>
  <c r="Z129" i="1"/>
  <c r="AA129" i="1"/>
  <c r="AB129" i="1"/>
  <c r="AA31" i="1"/>
  <c r="AC31" i="1"/>
  <c r="AB31" i="1"/>
  <c r="I31" i="1"/>
  <c r="Z31" i="1"/>
  <c r="AA132" i="1"/>
  <c r="AC132" i="1"/>
  <c r="I132" i="1"/>
  <c r="Z132" i="1"/>
  <c r="AB132" i="1"/>
  <c r="P109" i="1"/>
  <c r="U109" i="1"/>
  <c r="K110" i="2"/>
  <c r="I28" i="1"/>
  <c r="Z28" i="1"/>
  <c r="AA28" i="1"/>
  <c r="AC28" i="1"/>
  <c r="AB28" i="1"/>
  <c r="O141" i="1"/>
  <c r="T141" i="1"/>
  <c r="AC116" i="1"/>
  <c r="I116" i="1"/>
  <c r="Z116" i="1"/>
  <c r="AA116" i="1"/>
  <c r="O116" i="1"/>
  <c r="T116" i="1"/>
  <c r="AB116" i="1"/>
  <c r="AC127" i="1"/>
  <c r="I127" i="1"/>
  <c r="Z127" i="1"/>
  <c r="AA127" i="1"/>
  <c r="AB127" i="1"/>
  <c r="P93" i="1"/>
  <c r="U93" i="1"/>
  <c r="K94" i="2"/>
  <c r="AC92" i="1"/>
  <c r="I92" i="1"/>
  <c r="Z92" i="1"/>
  <c r="AA92" i="1"/>
  <c r="AB92" i="1"/>
  <c r="O44" i="1"/>
  <c r="T44" i="1"/>
  <c r="S122" i="1"/>
  <c r="AB121" i="1"/>
  <c r="AC121" i="1"/>
  <c r="I121" i="1"/>
  <c r="Z121" i="1"/>
  <c r="AA121" i="1"/>
  <c r="AC108" i="1"/>
  <c r="I108" i="1"/>
  <c r="Z108" i="1"/>
  <c r="AA108" i="1"/>
  <c r="AB108" i="1"/>
  <c r="AC142" i="1"/>
  <c r="I142" i="1"/>
  <c r="Z142" i="1"/>
  <c r="AB142" i="1"/>
  <c r="AA142" i="1"/>
  <c r="O142" i="1"/>
  <c r="T142" i="1"/>
  <c r="I119" i="1"/>
  <c r="Z119" i="1"/>
  <c r="AA119" i="1"/>
  <c r="O119" i="1"/>
  <c r="T119" i="1"/>
  <c r="AB119" i="1"/>
  <c r="AC119" i="1"/>
  <c r="H124" i="2"/>
  <c r="AA94" i="1"/>
  <c r="Z94" i="1"/>
  <c r="O94" i="1"/>
  <c r="T94" i="1"/>
  <c r="AB94" i="1"/>
  <c r="AC94" i="1"/>
  <c r="I94" i="1"/>
  <c r="AB37" i="1"/>
  <c r="AC37" i="1"/>
  <c r="Z37" i="1"/>
  <c r="AA37" i="1"/>
  <c r="O37" i="1"/>
  <c r="T37" i="1"/>
  <c r="I37" i="1"/>
  <c r="I24" i="1"/>
  <c r="Z24" i="1"/>
  <c r="AA24" i="1"/>
  <c r="AC24" i="1"/>
  <c r="P24" i="1"/>
  <c r="U24" i="1"/>
  <c r="K23" i="2"/>
  <c r="AB24" i="1"/>
  <c r="AA130" i="1"/>
  <c r="AC130" i="1"/>
  <c r="I130" i="1"/>
  <c r="Z130" i="1"/>
  <c r="AB130" i="1"/>
  <c r="R88" i="1"/>
  <c r="R123" i="1"/>
  <c r="T68" i="1"/>
  <c r="P68" i="1"/>
  <c r="U68" i="1"/>
  <c r="K68" i="2"/>
  <c r="AB25" i="1"/>
  <c r="AA25" i="1"/>
  <c r="Z25" i="1"/>
  <c r="AC25" i="1"/>
  <c r="P25" i="1"/>
  <c r="U25" i="1"/>
  <c r="K24" i="2"/>
  <c r="I25" i="1"/>
  <c r="I152" i="2"/>
  <c r="I153" i="2"/>
  <c r="AA128" i="1"/>
  <c r="AB128" i="1"/>
  <c r="AC128" i="1"/>
  <c r="I128" i="1"/>
  <c r="Z128" i="1"/>
  <c r="AC39" i="1"/>
  <c r="AB39" i="1"/>
  <c r="I39" i="1"/>
  <c r="Z39" i="1"/>
  <c r="AA39" i="1"/>
  <c r="O39" i="1"/>
  <c r="T39" i="1"/>
  <c r="I84" i="2"/>
  <c r="I12" i="1"/>
  <c r="Z12" i="1"/>
  <c r="AA12" i="1"/>
  <c r="O12" i="1"/>
  <c r="T12" i="1"/>
  <c r="AC12" i="1"/>
  <c r="AB12" i="1"/>
  <c r="Q122" i="1"/>
  <c r="AA120" i="1"/>
  <c r="AB120" i="1"/>
  <c r="AC120" i="1"/>
  <c r="I120" i="1"/>
  <c r="Z120" i="1"/>
  <c r="AC139" i="1"/>
  <c r="AA139" i="1"/>
  <c r="AB139" i="1"/>
  <c r="Z139" i="1"/>
  <c r="I139" i="1"/>
  <c r="AC86" i="1"/>
  <c r="I86" i="1"/>
  <c r="Z86" i="1"/>
  <c r="AA86" i="1"/>
  <c r="AB86" i="1"/>
  <c r="AA106" i="1"/>
  <c r="AB106" i="1"/>
  <c r="I106" i="1"/>
  <c r="Z106" i="1"/>
  <c r="AC106" i="1"/>
  <c r="AA110" i="1"/>
  <c r="Z110" i="1"/>
  <c r="O110" i="1"/>
  <c r="T110" i="1"/>
  <c r="AB110" i="1"/>
  <c r="AC110" i="1"/>
  <c r="I110" i="1"/>
  <c r="AB60" i="1"/>
  <c r="AC60" i="1"/>
  <c r="I60" i="1"/>
  <c r="Z60" i="1"/>
  <c r="AA60" i="1"/>
  <c r="AC112" i="1"/>
  <c r="I112" i="1"/>
  <c r="Z112" i="1"/>
  <c r="AA112" i="1"/>
  <c r="AB112" i="1"/>
  <c r="AC137" i="1"/>
  <c r="AA137" i="1"/>
  <c r="AB137" i="1"/>
  <c r="Z137" i="1"/>
  <c r="I137" i="1"/>
  <c r="I148" i="2"/>
  <c r="I149" i="2"/>
  <c r="I150" i="2"/>
  <c r="I151" i="2"/>
  <c r="O101" i="1"/>
  <c r="T101" i="1"/>
  <c r="Y88" i="1"/>
  <c r="I89" i="2"/>
  <c r="I123" i="2"/>
  <c r="V88" i="1"/>
  <c r="V123" i="1"/>
  <c r="AC133" i="1"/>
  <c r="AA133" i="1"/>
  <c r="AB133" i="1"/>
  <c r="I133" i="1"/>
  <c r="Z133" i="1"/>
  <c r="AA114" i="1"/>
  <c r="AB114" i="1"/>
  <c r="I114" i="1"/>
  <c r="Z114" i="1"/>
  <c r="AC114" i="1"/>
  <c r="I57" i="1"/>
  <c r="Z57" i="1"/>
  <c r="AB57" i="1"/>
  <c r="AC57" i="1"/>
  <c r="AA57" i="1"/>
  <c r="O51" i="1"/>
  <c r="T51" i="1"/>
  <c r="P44" i="1"/>
  <c r="U44" i="1"/>
  <c r="K43" i="2"/>
  <c r="T64" i="1"/>
  <c r="P64" i="1"/>
  <c r="U64" i="1"/>
  <c r="K64" i="2"/>
  <c r="AA42" i="1"/>
  <c r="I42" i="1"/>
  <c r="Z42" i="1"/>
  <c r="AB42" i="1"/>
  <c r="AC42" i="1"/>
  <c r="AB21" i="1"/>
  <c r="AC21" i="1"/>
  <c r="AA21" i="1"/>
  <c r="Z21" i="1"/>
  <c r="I21" i="1"/>
  <c r="K6" i="2"/>
  <c r="I69" i="1"/>
  <c r="Z69" i="1"/>
  <c r="AB69" i="1"/>
  <c r="AC69" i="1"/>
  <c r="AA69" i="1"/>
  <c r="I45" i="2"/>
  <c r="I46" i="2"/>
  <c r="I10" i="1"/>
  <c r="Z10" i="1"/>
  <c r="AA10" i="1"/>
  <c r="AB10" i="1"/>
  <c r="AC10" i="1"/>
  <c r="I117" i="1"/>
  <c r="Z117" i="1"/>
  <c r="AC117" i="1"/>
  <c r="AA117" i="1"/>
  <c r="O117" i="1"/>
  <c r="T117" i="1"/>
  <c r="AB117" i="1"/>
  <c r="I113" i="1"/>
  <c r="Z113" i="1"/>
  <c r="AA113" i="1"/>
  <c r="O113" i="1"/>
  <c r="T113" i="1"/>
  <c r="AC113" i="1"/>
  <c r="AB113" i="1"/>
  <c r="AC131" i="1"/>
  <c r="AA131" i="1"/>
  <c r="Z131" i="1"/>
  <c r="O131" i="1"/>
  <c r="T131" i="1"/>
  <c r="AB131" i="1"/>
  <c r="I131" i="1"/>
  <c r="I63" i="1"/>
  <c r="Z63" i="1"/>
  <c r="AB63" i="1"/>
  <c r="AC63" i="1"/>
  <c r="AA63" i="1"/>
  <c r="O63" i="1"/>
  <c r="T63" i="1"/>
  <c r="I38" i="1"/>
  <c r="AA38" i="1"/>
  <c r="AC38" i="1"/>
  <c r="Z38" i="1"/>
  <c r="AB38" i="1"/>
  <c r="AC41" i="1"/>
  <c r="AA41" i="1"/>
  <c r="Z41" i="1"/>
  <c r="O41" i="1"/>
  <c r="T41" i="1"/>
  <c r="AB41" i="1"/>
  <c r="I41" i="1"/>
  <c r="I74" i="1"/>
  <c r="Z74" i="1"/>
  <c r="AA74" i="1"/>
  <c r="AC74" i="1"/>
  <c r="AB74" i="1"/>
  <c r="I53" i="1"/>
  <c r="Z53" i="1"/>
  <c r="AA53" i="1"/>
  <c r="O53" i="1"/>
  <c r="T53" i="1"/>
  <c r="AC53" i="1"/>
  <c r="P53" i="1"/>
  <c r="U53" i="1"/>
  <c r="K53" i="2"/>
  <c r="AB53" i="1"/>
  <c r="Z36" i="1"/>
  <c r="I36" i="1"/>
  <c r="AA36" i="1"/>
  <c r="O36" i="1"/>
  <c r="T36" i="1"/>
  <c r="AC36" i="1"/>
  <c r="AB36" i="1"/>
  <c r="I8" i="1"/>
  <c r="Z8" i="1"/>
  <c r="AA8" i="1"/>
  <c r="AC8" i="1"/>
  <c r="P8" i="1"/>
  <c r="U8" i="1"/>
  <c r="AB8" i="1"/>
  <c r="H22" i="2"/>
  <c r="H127" i="2"/>
  <c r="H21" i="2"/>
  <c r="H126" i="2"/>
  <c r="P141" i="1"/>
  <c r="U141" i="1"/>
  <c r="K145" i="2"/>
  <c r="AA136" i="1"/>
  <c r="AC136" i="1"/>
  <c r="I136" i="1"/>
  <c r="Z136" i="1"/>
  <c r="AB136" i="1"/>
  <c r="AC104" i="1"/>
  <c r="I104" i="1"/>
  <c r="Z104" i="1"/>
  <c r="AA104" i="1"/>
  <c r="AB104" i="1"/>
  <c r="AA126" i="1"/>
  <c r="AB126" i="1"/>
  <c r="AC126" i="1"/>
  <c r="I126" i="1"/>
  <c r="Z126" i="1"/>
  <c r="AA102" i="1"/>
  <c r="AB102" i="1"/>
  <c r="Z102" i="1"/>
  <c r="AC102" i="1"/>
  <c r="I102" i="1"/>
  <c r="I67" i="1"/>
  <c r="Z67" i="1"/>
  <c r="AB67" i="1"/>
  <c r="AC67" i="1"/>
  <c r="AA67" i="1"/>
  <c r="I61" i="1"/>
  <c r="Z61" i="1"/>
  <c r="AA61" i="1"/>
  <c r="O61" i="1"/>
  <c r="T61" i="1"/>
  <c r="AB61" i="1"/>
  <c r="AC61" i="1"/>
  <c r="I14" i="1"/>
  <c r="Z14" i="1"/>
  <c r="AA14" i="1"/>
  <c r="AC14" i="1"/>
  <c r="AB14" i="1"/>
  <c r="AB17" i="1"/>
  <c r="AC17" i="1"/>
  <c r="AA17" i="1"/>
  <c r="I17" i="1"/>
  <c r="Z17" i="1"/>
  <c r="J21" i="2"/>
  <c r="J126" i="2"/>
  <c r="J22" i="2"/>
  <c r="AC34" i="1"/>
  <c r="Z34" i="1"/>
  <c r="AA34" i="1"/>
  <c r="O34" i="1"/>
  <c r="T34" i="1"/>
  <c r="AB34" i="1"/>
  <c r="I34" i="1"/>
  <c r="AC96" i="1"/>
  <c r="I96" i="1"/>
  <c r="Z96" i="1"/>
  <c r="AA96" i="1"/>
  <c r="AB96" i="1"/>
  <c r="AC140" i="1"/>
  <c r="I140" i="1"/>
  <c r="Z140" i="1"/>
  <c r="AA140" i="1"/>
  <c r="AB140" i="1"/>
  <c r="I80" i="1"/>
  <c r="Z80" i="1"/>
  <c r="AA80" i="1"/>
  <c r="AB80" i="1"/>
  <c r="AC80" i="1"/>
  <c r="I26" i="1"/>
  <c r="Z26" i="1"/>
  <c r="AA26" i="1"/>
  <c r="O26" i="1"/>
  <c r="T26" i="1"/>
  <c r="AC26" i="1"/>
  <c r="AB26" i="1"/>
  <c r="AB19" i="1"/>
  <c r="AC19" i="1"/>
  <c r="AA19" i="1"/>
  <c r="I19" i="1"/>
  <c r="Z19" i="1"/>
  <c r="P107" i="1"/>
  <c r="U107" i="1"/>
  <c r="K108" i="2"/>
  <c r="P58" i="1"/>
  <c r="U58" i="1"/>
  <c r="K58" i="2"/>
  <c r="I32" i="2"/>
  <c r="I31" i="2"/>
  <c r="AC135" i="1"/>
  <c r="AA135" i="1"/>
  <c r="AB135" i="1"/>
  <c r="Z135" i="1"/>
  <c r="I135" i="1"/>
  <c r="AA138" i="1"/>
  <c r="AC138" i="1"/>
  <c r="I138" i="1"/>
  <c r="Z138" i="1"/>
  <c r="AB138" i="1"/>
  <c r="AA134" i="1"/>
  <c r="Z134" i="1"/>
  <c r="O134" i="1"/>
  <c r="T134" i="1"/>
  <c r="AC134" i="1"/>
  <c r="P134" i="1"/>
  <c r="U134" i="1"/>
  <c r="K138" i="2"/>
  <c r="I134" i="1"/>
  <c r="AB134" i="1"/>
  <c r="AA40" i="1"/>
  <c r="AB40" i="1"/>
  <c r="AC40" i="1"/>
  <c r="I40" i="1"/>
  <c r="Z40" i="1"/>
  <c r="AC30" i="1"/>
  <c r="AA30" i="1"/>
  <c r="I30" i="1"/>
  <c r="Z30" i="1"/>
  <c r="AB30" i="1"/>
  <c r="I118" i="1"/>
  <c r="AC118" i="1"/>
  <c r="Z118" i="1"/>
  <c r="AA118" i="1"/>
  <c r="AB118" i="1"/>
  <c r="I78" i="1"/>
  <c r="Z78" i="1"/>
  <c r="AA78" i="1"/>
  <c r="AC78" i="1"/>
  <c r="AB78" i="1"/>
  <c r="O70" i="1"/>
  <c r="T70" i="1"/>
  <c r="O62" i="1"/>
  <c r="T62" i="1"/>
  <c r="I49" i="1"/>
  <c r="Z49" i="1"/>
  <c r="AA49" i="1"/>
  <c r="AC49" i="1"/>
  <c r="AB49" i="1"/>
  <c r="I65" i="1"/>
  <c r="Z65" i="1"/>
  <c r="AB65" i="1"/>
  <c r="AC65" i="1"/>
  <c r="AA65" i="1"/>
  <c r="AB15" i="1"/>
  <c r="AC15" i="1"/>
  <c r="AA15" i="1"/>
  <c r="Z15" i="1"/>
  <c r="I15" i="1"/>
  <c r="I18" i="1"/>
  <c r="Z18" i="1"/>
  <c r="AA18" i="1"/>
  <c r="AC18" i="1"/>
  <c r="AB18" i="1"/>
  <c r="Q123" i="1"/>
  <c r="Q124" i="1"/>
  <c r="AA98" i="1"/>
  <c r="AB98" i="1"/>
  <c r="I98" i="1"/>
  <c r="Z98" i="1"/>
  <c r="AC98" i="1"/>
  <c r="AC45" i="1"/>
  <c r="I45" i="1"/>
  <c r="Z45" i="1"/>
  <c r="AA45" i="1"/>
  <c r="AB45" i="1"/>
  <c r="P101" i="1"/>
  <c r="U101" i="1"/>
  <c r="K102" i="2"/>
  <c r="P51" i="1"/>
  <c r="U51" i="1"/>
  <c r="K51" i="2"/>
  <c r="P27" i="1"/>
  <c r="U27" i="1"/>
  <c r="K26" i="2"/>
  <c r="S123" i="1"/>
  <c r="I20" i="1"/>
  <c r="Z20" i="1"/>
  <c r="AA20" i="1"/>
  <c r="AC20" i="1"/>
  <c r="AB20" i="1"/>
  <c r="I16" i="1"/>
  <c r="Z16" i="1"/>
  <c r="AA16" i="1"/>
  <c r="AC16" i="1"/>
  <c r="AB16" i="1"/>
  <c r="AC100" i="1"/>
  <c r="I100" i="1"/>
  <c r="Z100" i="1"/>
  <c r="AA100" i="1"/>
  <c r="O100" i="1"/>
  <c r="T100" i="1"/>
  <c r="AB100" i="1"/>
  <c r="Z89" i="1"/>
  <c r="AA89" i="1"/>
  <c r="AC89" i="1"/>
  <c r="I89" i="1"/>
  <c r="AB89" i="1"/>
  <c r="O72" i="1"/>
  <c r="T72" i="1"/>
  <c r="O66" i="1"/>
  <c r="T66" i="1"/>
  <c r="I87" i="1"/>
  <c r="Z87" i="1"/>
  <c r="AB87" i="1"/>
  <c r="AC87" i="1"/>
  <c r="AA87" i="1"/>
  <c r="I59" i="1"/>
  <c r="Z59" i="1"/>
  <c r="AA59" i="1"/>
  <c r="O59" i="1"/>
  <c r="T59" i="1"/>
  <c r="AB59" i="1"/>
  <c r="AC59" i="1"/>
  <c r="AC43" i="1"/>
  <c r="I43" i="1"/>
  <c r="Z43" i="1"/>
  <c r="AA43" i="1"/>
  <c r="AB43" i="1"/>
  <c r="I97" i="1"/>
  <c r="Z97" i="1"/>
  <c r="AA97" i="1"/>
  <c r="AC97" i="1"/>
  <c r="AB97" i="1"/>
  <c r="O29" i="1"/>
  <c r="T29" i="1"/>
  <c r="J31" i="2"/>
  <c r="J32" i="2"/>
  <c r="I105" i="1"/>
  <c r="Z105" i="1"/>
  <c r="AA105" i="1"/>
  <c r="AC105" i="1"/>
  <c r="AB105" i="1"/>
  <c r="I21" i="2"/>
  <c r="I22" i="2"/>
  <c r="I128" i="2" a="1"/>
  <c r="I128" i="2"/>
  <c r="O87" i="1"/>
  <c r="T87" i="1"/>
  <c r="O65" i="1"/>
  <c r="T65" i="1"/>
  <c r="O67" i="1"/>
  <c r="T67" i="1"/>
  <c r="P71" i="1"/>
  <c r="U71" i="1"/>
  <c r="K71" i="2"/>
  <c r="O15" i="1"/>
  <c r="T15" i="1"/>
  <c r="P65" i="1"/>
  <c r="U65" i="1"/>
  <c r="K65" i="2"/>
  <c r="O78" i="1"/>
  <c r="P78" i="1"/>
  <c r="U78" i="1"/>
  <c r="K78" i="2"/>
  <c r="P67" i="1"/>
  <c r="U67" i="1"/>
  <c r="K67" i="2"/>
  <c r="O102" i="1"/>
  <c r="T102" i="1"/>
  <c r="P82" i="1"/>
  <c r="U82" i="1"/>
  <c r="K82" i="2"/>
  <c r="P87" i="1"/>
  <c r="U87" i="1"/>
  <c r="K88" i="2"/>
  <c r="O89" i="1"/>
  <c r="P89" i="1"/>
  <c r="U89" i="1"/>
  <c r="K90" i="2"/>
  <c r="T89" i="1"/>
  <c r="T78" i="1"/>
  <c r="O118" i="1"/>
  <c r="T118" i="1"/>
  <c r="P70" i="1"/>
  <c r="U70" i="1"/>
  <c r="K70" i="2"/>
  <c r="J127" i="2"/>
  <c r="P113" i="1"/>
  <c r="U113" i="1"/>
  <c r="K114" i="2"/>
  <c r="O69" i="1"/>
  <c r="T69" i="1"/>
  <c r="O21" i="1"/>
  <c r="T21" i="1"/>
  <c r="O57" i="1"/>
  <c r="T57" i="1"/>
  <c r="P79" i="1"/>
  <c r="U79" i="1"/>
  <c r="K79" i="2"/>
  <c r="S124" i="1"/>
  <c r="O40" i="1"/>
  <c r="T40" i="1"/>
  <c r="J128" i="2" a="1"/>
  <c r="J128" i="2"/>
  <c r="O126" i="1"/>
  <c r="T126" i="1"/>
  <c r="P63" i="1"/>
  <c r="U63" i="1"/>
  <c r="K63" i="2"/>
  <c r="P72" i="1"/>
  <c r="U72" i="1"/>
  <c r="K72" i="2"/>
  <c r="P57" i="1"/>
  <c r="U57" i="1"/>
  <c r="K57" i="2"/>
  <c r="O114" i="1"/>
  <c r="T114" i="1"/>
  <c r="O133" i="1"/>
  <c r="T133" i="1"/>
  <c r="AA88" i="1"/>
  <c r="I88" i="1"/>
  <c r="Z88" i="1"/>
  <c r="AB88" i="1"/>
  <c r="AC88" i="1"/>
  <c r="O112" i="1"/>
  <c r="T112" i="1"/>
  <c r="P110" i="1"/>
  <c r="U110" i="1"/>
  <c r="K111" i="2"/>
  <c r="O106" i="1"/>
  <c r="T106" i="1"/>
  <c r="O130" i="1"/>
  <c r="T130" i="1"/>
  <c r="P94" i="1"/>
  <c r="U94" i="1"/>
  <c r="K95" i="2"/>
  <c r="O108" i="1"/>
  <c r="T108" i="1"/>
  <c r="O121" i="1"/>
  <c r="T121" i="1"/>
  <c r="O92" i="1"/>
  <c r="T92" i="1"/>
  <c r="O132" i="1"/>
  <c r="T132" i="1"/>
  <c r="O129" i="1"/>
  <c r="T129" i="1"/>
  <c r="O120" i="1"/>
  <c r="T120" i="1"/>
  <c r="O128" i="1"/>
  <c r="P128" i="1"/>
  <c r="U128" i="1"/>
  <c r="K132" i="2"/>
  <c r="P130" i="1"/>
  <c r="U130" i="1"/>
  <c r="K134" i="2"/>
  <c r="P92" i="1"/>
  <c r="U92" i="1"/>
  <c r="K93" i="2"/>
  <c r="O105" i="1"/>
  <c r="T105" i="1"/>
  <c r="O97" i="1"/>
  <c r="T97" i="1"/>
  <c r="O43" i="1"/>
  <c r="T43" i="1"/>
  <c r="P59" i="1"/>
  <c r="U59" i="1"/>
  <c r="K59" i="2"/>
  <c r="O16" i="1"/>
  <c r="T16" i="1"/>
  <c r="O18" i="1"/>
  <c r="P18" i="1"/>
  <c r="U18" i="1"/>
  <c r="K17" i="2"/>
  <c r="O49" i="1"/>
  <c r="T49" i="1"/>
  <c r="O30" i="1"/>
  <c r="T30" i="1"/>
  <c r="O138" i="1"/>
  <c r="T138" i="1"/>
  <c r="O135" i="1"/>
  <c r="T135" i="1"/>
  <c r="P29" i="1"/>
  <c r="U29" i="1"/>
  <c r="K28" i="2"/>
  <c r="O80" i="1"/>
  <c r="T80" i="1"/>
  <c r="O140" i="1"/>
  <c r="T140" i="1"/>
  <c r="O17" i="1"/>
  <c r="T17" i="1"/>
  <c r="P61" i="1"/>
  <c r="U61" i="1"/>
  <c r="K61" i="2"/>
  <c r="K7" i="2"/>
  <c r="P41" i="1"/>
  <c r="U41" i="1"/>
  <c r="K40" i="2"/>
  <c r="O38" i="1"/>
  <c r="T38" i="1"/>
  <c r="P131" i="1"/>
  <c r="U131" i="1"/>
  <c r="K135" i="2"/>
  <c r="P117" i="1"/>
  <c r="U117" i="1"/>
  <c r="K118" i="2"/>
  <c r="P133" i="1"/>
  <c r="U133" i="1"/>
  <c r="K137" i="2"/>
  <c r="O137" i="1"/>
  <c r="T137" i="1"/>
  <c r="O139" i="1"/>
  <c r="T139" i="1"/>
  <c r="P120" i="1"/>
  <c r="U120" i="1"/>
  <c r="K121" i="2"/>
  <c r="T128" i="1"/>
  <c r="P37" i="1"/>
  <c r="U37" i="1"/>
  <c r="K36" i="2"/>
  <c r="P119" i="1"/>
  <c r="U119" i="1"/>
  <c r="K120" i="2"/>
  <c r="O127" i="1"/>
  <c r="P127" i="1"/>
  <c r="U127" i="1"/>
  <c r="K131" i="2"/>
  <c r="I124" i="2"/>
  <c r="I127" i="2"/>
  <c r="O31" i="1"/>
  <c r="T31" i="1"/>
  <c r="V124" i="1"/>
  <c r="P112" i="1"/>
  <c r="U112" i="1"/>
  <c r="K113" i="2"/>
  <c r="P39" i="1"/>
  <c r="U39" i="1"/>
  <c r="K38" i="2"/>
  <c r="P15" i="1"/>
  <c r="U15" i="1"/>
  <c r="K14" i="2"/>
  <c r="P49" i="1"/>
  <c r="U49" i="1"/>
  <c r="K49" i="2"/>
  <c r="I126" i="2"/>
  <c r="P100" i="1"/>
  <c r="U100" i="1"/>
  <c r="K101" i="2"/>
  <c r="O20" i="1"/>
  <c r="T20" i="1"/>
  <c r="O45" i="1"/>
  <c r="T45" i="1"/>
  <c r="O98" i="1"/>
  <c r="T98" i="1"/>
  <c r="T18" i="1"/>
  <c r="P118" i="1"/>
  <c r="U118" i="1"/>
  <c r="K119" i="2"/>
  <c r="P30" i="1"/>
  <c r="U30" i="1"/>
  <c r="K29" i="2"/>
  <c r="U135" i="1"/>
  <c r="K139" i="2"/>
  <c r="O19" i="1"/>
  <c r="T19" i="1"/>
  <c r="P26" i="1"/>
  <c r="U26" i="1"/>
  <c r="K25" i="2"/>
  <c r="P66" i="1"/>
  <c r="U66" i="1"/>
  <c r="K66" i="2"/>
  <c r="O96" i="1"/>
  <c r="T96" i="1"/>
  <c r="P34" i="1"/>
  <c r="U34" i="1"/>
  <c r="K33" i="2"/>
  <c r="O14" i="1"/>
  <c r="T14" i="1"/>
  <c r="P126" i="1"/>
  <c r="U126" i="1"/>
  <c r="K130" i="2"/>
  <c r="O104" i="1"/>
  <c r="T104" i="1"/>
  <c r="O136" i="1"/>
  <c r="T136" i="1"/>
  <c r="H128" i="2" a="1"/>
  <c r="H128" i="2"/>
  <c r="P36" i="1"/>
  <c r="U36" i="1"/>
  <c r="K35" i="2"/>
  <c r="R122" i="1"/>
  <c r="R124" i="1"/>
  <c r="O74" i="1"/>
  <c r="T74" i="1"/>
  <c r="O10" i="1"/>
  <c r="T10" i="1"/>
  <c r="O42" i="1"/>
  <c r="T42" i="1"/>
  <c r="O60" i="1"/>
  <c r="T60" i="1"/>
  <c r="O86" i="1"/>
  <c r="T86" i="1"/>
  <c r="P12" i="1"/>
  <c r="U12" i="1"/>
  <c r="K11" i="2"/>
  <c r="I6" i="3"/>
  <c r="P142" i="1"/>
  <c r="U142" i="1"/>
  <c r="K146" i="2"/>
  <c r="T127" i="1"/>
  <c r="P116" i="1"/>
  <c r="U116" i="1"/>
  <c r="K117" i="2"/>
  <c r="O28" i="1"/>
  <c r="T28" i="1"/>
  <c r="P62" i="1"/>
  <c r="U62" i="1"/>
  <c r="K62" i="2"/>
  <c r="P129" i="1"/>
  <c r="U129" i="1"/>
  <c r="K133" i="2"/>
  <c r="P86" i="1"/>
  <c r="U86" i="1"/>
  <c r="K87" i="2"/>
  <c r="P104" i="1"/>
  <c r="U104" i="1"/>
  <c r="K105" i="2"/>
  <c r="P40" i="1"/>
  <c r="U40" i="1"/>
  <c r="K39" i="2"/>
  <c r="P38" i="1"/>
  <c r="U38" i="1"/>
  <c r="K37" i="2"/>
  <c r="P42" i="1"/>
  <c r="U42" i="1"/>
  <c r="K41" i="2"/>
  <c r="P43" i="1"/>
  <c r="U43" i="1"/>
  <c r="K42" i="2"/>
  <c r="P45" i="1"/>
  <c r="U45" i="1"/>
  <c r="K44" i="2"/>
  <c r="K45" i="2"/>
  <c r="O88" i="1"/>
  <c r="T88" i="1"/>
  <c r="P21" i="1"/>
  <c r="U21" i="1"/>
  <c r="K20" i="2"/>
  <c r="I9" i="3"/>
  <c r="P17" i="1"/>
  <c r="U17" i="1"/>
  <c r="K16" i="2"/>
  <c r="P97" i="1"/>
  <c r="U97" i="1"/>
  <c r="K98" i="2"/>
  <c r="P69" i="1"/>
  <c r="U69" i="1"/>
  <c r="K69" i="2"/>
  <c r="P102" i="1"/>
  <c r="U102" i="1"/>
  <c r="K103" i="2"/>
  <c r="P80" i="1"/>
  <c r="U80" i="1"/>
  <c r="K80" i="2"/>
  <c r="P98" i="1"/>
  <c r="U98" i="1"/>
  <c r="K99" i="2"/>
  <c r="P121" i="1"/>
  <c r="U121" i="1"/>
  <c r="K122" i="2"/>
  <c r="P31" i="1"/>
  <c r="U31" i="1"/>
  <c r="K30" i="2"/>
  <c r="P106" i="1"/>
  <c r="U106" i="1"/>
  <c r="K107" i="2"/>
  <c r="P132" i="1"/>
  <c r="U132" i="1"/>
  <c r="K136" i="2"/>
  <c r="P19" i="1"/>
  <c r="U19" i="1"/>
  <c r="K18" i="2"/>
  <c r="I8" i="3"/>
  <c r="K150" i="2"/>
  <c r="K151" i="2"/>
  <c r="P96" i="1"/>
  <c r="U96" i="1"/>
  <c r="K97" i="2"/>
  <c r="P137" i="1"/>
  <c r="U137" i="1"/>
  <c r="K141" i="2"/>
  <c r="T123" i="1"/>
  <c r="T122" i="1"/>
  <c r="T124" i="1"/>
  <c r="P139" i="1"/>
  <c r="U139" i="1"/>
  <c r="K143" i="2"/>
  <c r="P140" i="1"/>
  <c r="U140" i="1"/>
  <c r="K144" i="2"/>
  <c r="P16" i="1"/>
  <c r="U16" i="1"/>
  <c r="K15" i="2"/>
  <c r="I7" i="3"/>
  <c r="P14" i="1"/>
  <c r="U14" i="1"/>
  <c r="K13" i="2"/>
  <c r="P105" i="1"/>
  <c r="U105" i="1"/>
  <c r="K106" i="2"/>
  <c r="K46" i="2"/>
  <c r="P138" i="1"/>
  <c r="U138" i="1"/>
  <c r="K142" i="2"/>
  <c r="P28" i="1"/>
  <c r="U28" i="1"/>
  <c r="K27" i="2"/>
  <c r="P60" i="1"/>
  <c r="U60" i="1"/>
  <c r="K60" i="2"/>
  <c r="P74" i="1"/>
  <c r="U74" i="1"/>
  <c r="K74" i="2"/>
  <c r="P136" i="1"/>
  <c r="U136" i="1"/>
  <c r="K140" i="2"/>
  <c r="P20" i="1"/>
  <c r="U20" i="1"/>
  <c r="K19" i="2"/>
  <c r="P114" i="1"/>
  <c r="U114" i="1"/>
  <c r="K115" i="2"/>
  <c r="P10" i="1"/>
  <c r="U10" i="1"/>
  <c r="P108" i="1"/>
  <c r="U108" i="1"/>
  <c r="K109" i="2"/>
  <c r="K148" i="2"/>
  <c r="K84" i="2"/>
  <c r="P88" i="1"/>
  <c r="U88" i="1"/>
  <c r="K89" i="2"/>
  <c r="K123" i="2"/>
  <c r="K9" i="2"/>
  <c r="I123" i="1" a="1"/>
  <c r="I123" i="1"/>
  <c r="I124" i="1" a="1"/>
  <c r="I124" i="1"/>
  <c r="U123" i="1"/>
  <c r="X124" i="1" a="1"/>
  <c r="X124" i="1"/>
  <c r="U122" i="1"/>
  <c r="X123" i="1" a="1"/>
  <c r="X123" i="1"/>
  <c r="K85" i="2"/>
  <c r="K149" i="2"/>
  <c r="K153" i="2"/>
  <c r="K152" i="2"/>
  <c r="K31" i="2"/>
  <c r="K32" i="2"/>
  <c r="K124" i="2"/>
  <c r="U124" i="1"/>
  <c r="K21" i="2"/>
  <c r="K22" i="2"/>
  <c r="K127" i="2"/>
  <c r="K126" i="2"/>
  <c r="K128" i="2" a="1"/>
  <c r="K128" i="2"/>
</calcChain>
</file>

<file path=xl/sharedStrings.xml><?xml version="1.0" encoding="utf-8"?>
<sst xmlns="http://schemas.openxmlformats.org/spreadsheetml/2006/main" count="275" uniqueCount="230">
  <si>
    <t xml:space="preserve">  an)   NEW from Dong Dec '06      Short Circular Concrete Filled Steel Tubes  No Moment</t>
  </si>
  <si>
    <t>DATA</t>
  </si>
  <si>
    <t>local buckling if D/t &gt; 90*(235/fy)</t>
  </si>
  <si>
    <t>local</t>
  </si>
  <si>
    <t>Npl,Rd</t>
  </si>
  <si>
    <t>d</t>
  </si>
  <si>
    <t>Ref. No.</t>
  </si>
  <si>
    <t xml:space="preserve">  Dia.</t>
  </si>
  <si>
    <t xml:space="preserve"> thick</t>
  </si>
  <si>
    <t xml:space="preserve">  Yield</t>
  </si>
  <si>
    <t xml:space="preserve"> f cyl</t>
  </si>
  <si>
    <t xml:space="preserve"> Length</t>
  </si>
  <si>
    <t>D/t</t>
  </si>
  <si>
    <t>buckling</t>
  </si>
  <si>
    <t>slender-</t>
  </si>
  <si>
    <t xml:space="preserve">  Test</t>
  </si>
  <si>
    <t xml:space="preserve"> Uniax.</t>
  </si>
  <si>
    <t>L/D</t>
  </si>
  <si>
    <t>EC4 no</t>
  </si>
  <si>
    <t xml:space="preserve"> Nu cdg</t>
  </si>
  <si>
    <t xml:space="preserve"> Nu EC4</t>
  </si>
  <si>
    <t xml:space="preserve"> K1*Nu</t>
  </si>
  <si>
    <r>
      <t xml:space="preserve">  </t>
    </r>
    <r>
      <rPr>
        <b/>
        <u/>
        <sz val="10"/>
        <rFont val="Arial"/>
        <family val="2"/>
      </rPr>
      <t>Test</t>
    </r>
    <r>
      <rPr>
        <b/>
        <sz val="10"/>
        <rFont val="Arial"/>
        <family val="2"/>
      </rPr>
      <t xml:space="preserve"> </t>
    </r>
  </si>
  <si>
    <t xml:space="preserve">  Test  </t>
  </si>
  <si>
    <r>
      <t xml:space="preserve">  </t>
    </r>
    <r>
      <rPr>
        <b/>
        <u/>
        <sz val="10"/>
        <rFont val="Arial"/>
        <family val="2"/>
      </rPr>
      <t xml:space="preserve">Test </t>
    </r>
  </si>
  <si>
    <t>Asfy</t>
  </si>
  <si>
    <t xml:space="preserve"> Ac</t>
  </si>
  <si>
    <t xml:space="preserve"> As</t>
  </si>
  <si>
    <t xml:space="preserve"> slend.</t>
  </si>
  <si>
    <t xml:space="preserve"> n10</t>
  </si>
  <si>
    <t xml:space="preserve"> n20</t>
  </si>
  <si>
    <t xml:space="preserve"> coeff.</t>
  </si>
  <si>
    <t xml:space="preserve"> K1</t>
  </si>
  <si>
    <t xml:space="preserve">   mm</t>
  </si>
  <si>
    <t xml:space="preserve"> N/mm2</t>
  </si>
  <si>
    <t>if &gt; 1</t>
  </si>
  <si>
    <t xml:space="preserve">  ness</t>
  </si>
  <si>
    <t xml:space="preserve">   kN</t>
  </si>
  <si>
    <t xml:space="preserve">  kN</t>
  </si>
  <si>
    <t>eta' kN</t>
  </si>
  <si>
    <t xml:space="preserve"> Nunia</t>
  </si>
  <si>
    <t>no eta</t>
  </si>
  <si>
    <t xml:space="preserve"> Nucdg</t>
  </si>
  <si>
    <t xml:space="preserve"> NuEC4</t>
  </si>
  <si>
    <t xml:space="preserve"> K1*EC</t>
  </si>
  <si>
    <t xml:space="preserve"> mm2</t>
  </si>
  <si>
    <t>Chi'</t>
  </si>
  <si>
    <t>Giakoumelis &amp; Lam</t>
  </si>
  <si>
    <t>Ref. 101</t>
  </si>
  <si>
    <t>*</t>
  </si>
  <si>
    <t>C1</t>
  </si>
  <si>
    <t>C2</t>
  </si>
  <si>
    <t>C3</t>
  </si>
  <si>
    <t>C4</t>
  </si>
  <si>
    <t>C5g</t>
  </si>
  <si>
    <t>C6g</t>
  </si>
  <si>
    <t>C7</t>
  </si>
  <si>
    <t>C8</t>
  </si>
  <si>
    <t>C9</t>
  </si>
  <si>
    <t>C10g</t>
  </si>
  <si>
    <t>C11</t>
  </si>
  <si>
    <t>C12</t>
  </si>
  <si>
    <t>C13g</t>
  </si>
  <si>
    <t>C14</t>
  </si>
  <si>
    <t>C15g</t>
  </si>
  <si>
    <t>Ellobody et al</t>
  </si>
  <si>
    <t>Ref. 102</t>
  </si>
  <si>
    <t>CC6-C-0</t>
  </si>
  <si>
    <t>CC6-D-0</t>
  </si>
  <si>
    <t>CC6-C-2</t>
  </si>
  <si>
    <t>CC6-C-4-2</t>
  </si>
  <si>
    <t>CC6-C-8</t>
  </si>
  <si>
    <t>CC6-D-2</t>
  </si>
  <si>
    <t>CC6-D-4-1</t>
  </si>
  <si>
    <t>CC6-D-8</t>
  </si>
  <si>
    <t>Bai &amp; Li</t>
  </si>
  <si>
    <t>Ref. 103</t>
  </si>
  <si>
    <t>GZSJ-1</t>
  </si>
  <si>
    <t>GZSJ-2</t>
  </si>
  <si>
    <t>GZSJ-3</t>
  </si>
  <si>
    <t>GZSJ-4</t>
  </si>
  <si>
    <t>GZSJ-5</t>
  </si>
  <si>
    <t>GZSJ-6</t>
  </si>
  <si>
    <t>GZSJ-7</t>
  </si>
  <si>
    <t>GZSJ-8</t>
  </si>
  <si>
    <t>GZSJ-9</t>
  </si>
  <si>
    <t>GZSJ-10</t>
  </si>
  <si>
    <t>GZSJ-11</t>
  </si>
  <si>
    <t>GZSJ-12</t>
  </si>
  <si>
    <t>Zhang</t>
  </si>
  <si>
    <t>L-A-1-92h</t>
  </si>
  <si>
    <t>L-A-2-99h</t>
  </si>
  <si>
    <t>L-A-3-98h</t>
  </si>
  <si>
    <t>L-B-1-85h</t>
  </si>
  <si>
    <t>L-B-2-88h</t>
  </si>
  <si>
    <t>L-B-3-89h</t>
  </si>
  <si>
    <t>L-C-1-87h</t>
  </si>
  <si>
    <t>L-C-2-101h</t>
  </si>
  <si>
    <t>L-C-3-30h</t>
  </si>
  <si>
    <t>L-E-1-15h</t>
  </si>
  <si>
    <t>L-E-2-25h</t>
  </si>
  <si>
    <t>L-E-3-13h</t>
  </si>
  <si>
    <t>M-A-1-97h</t>
  </si>
  <si>
    <t>M-A-2-100h</t>
  </si>
  <si>
    <t>M-A-3-95h</t>
  </si>
  <si>
    <t>M-B-1-20h</t>
  </si>
  <si>
    <t>M-B-2-26h</t>
  </si>
  <si>
    <t>M-B-3-90h</t>
  </si>
  <si>
    <t>M-C-1-120h</t>
  </si>
  <si>
    <t>M-C-2-96h</t>
  </si>
  <si>
    <t>M-C-3-86h</t>
  </si>
  <si>
    <t>M-E-1-21h</t>
  </si>
  <si>
    <t>M-E-2-27h</t>
  </si>
  <si>
    <t>M-E-3-23h</t>
  </si>
  <si>
    <t>H-B-1-310h</t>
  </si>
  <si>
    <t>H-B-2-309h</t>
  </si>
  <si>
    <t>H-B-3-312h</t>
  </si>
  <si>
    <t>H-D-1-311h</t>
  </si>
  <si>
    <t>H-D-2-308h</t>
  </si>
  <si>
    <t>H-D-3-324h</t>
  </si>
  <si>
    <t>H-E-1-322h</t>
  </si>
  <si>
    <t>H-E-2-306h</t>
  </si>
  <si>
    <t>H-E-3-323h</t>
  </si>
  <si>
    <t>H-F-1-307h</t>
  </si>
  <si>
    <t>H-F-2-313h</t>
  </si>
  <si>
    <t>H-F-3-314h</t>
  </si>
  <si>
    <t>"stub" 3*D</t>
  </si>
  <si>
    <t>Sakino et al</t>
  </si>
  <si>
    <t>Ref. 106</t>
  </si>
  <si>
    <t>assumed</t>
  </si>
  <si>
    <t>L=3*D</t>
  </si>
  <si>
    <t>CC4-A-2</t>
  </si>
  <si>
    <t>CC4-A-4-1</t>
  </si>
  <si>
    <t>CC4-A-4-2</t>
  </si>
  <si>
    <t>CC4-A-8</t>
  </si>
  <si>
    <t>CC4-C-2</t>
  </si>
  <si>
    <t>CC4-C-4-1</t>
  </si>
  <si>
    <t>CC4-C-4-2</t>
  </si>
  <si>
    <t>CC4-C-8</t>
  </si>
  <si>
    <t>CC4-D-2</t>
  </si>
  <si>
    <t>CC4-D-4-1</t>
  </si>
  <si>
    <t>CC4-D-4-2</t>
  </si>
  <si>
    <t>CC4-D-8</t>
  </si>
  <si>
    <t>CC6-A-2</t>
  </si>
  <si>
    <t>CC6-A-4-1</t>
  </si>
  <si>
    <t>CC6-A-4-2</t>
  </si>
  <si>
    <t>CC6-A-8</t>
  </si>
  <si>
    <t>CC6-C-4-1</t>
  </si>
  <si>
    <t>CC6-D-4-2</t>
  </si>
  <si>
    <t>CC8-A-2</t>
  </si>
  <si>
    <t>CC8-A-4-1</t>
  </si>
  <si>
    <t>CC8-A-4-2</t>
  </si>
  <si>
    <t>CC8-C-8</t>
  </si>
  <si>
    <t>CC8-C-2</t>
  </si>
  <si>
    <t>CC8-C-4-1</t>
  </si>
  <si>
    <t>CC8-C-4-2</t>
  </si>
  <si>
    <t>CC8-D-2</t>
  </si>
  <si>
    <t>CC8-D-4-1</t>
  </si>
  <si>
    <t>CC8-D-4-2</t>
  </si>
  <si>
    <t>CC8-D-8</t>
  </si>
  <si>
    <t>No</t>
  </si>
  <si>
    <t>Test/EC4</t>
  </si>
  <si>
    <t>No.</t>
  </si>
  <si>
    <t>loc B &gt; 1</t>
  </si>
  <si>
    <t>No. &lt; 1</t>
  </si>
  <si>
    <t>Av of these</t>
  </si>
  <si>
    <t>loc B&lt;= 1</t>
  </si>
  <si>
    <t>% &lt; 1</t>
  </si>
  <si>
    <t>Zhang &amp; Liu</t>
  </si>
  <si>
    <t>Ref 109</t>
  </si>
  <si>
    <t>c1  c-133-5-70-a</t>
  </si>
  <si>
    <t>c2  c-140-3-70-a</t>
  </si>
  <si>
    <t>c1  c-133-5-70-b</t>
  </si>
  <si>
    <t>c1  c-133-5-70-c</t>
  </si>
  <si>
    <t>c2  c-140-3-70-b</t>
  </si>
  <si>
    <t>c2  c-140-3-70-c</t>
  </si>
  <si>
    <t>m3 c-133-5-75-b1</t>
  </si>
  <si>
    <t>m3 c-133-5-75-b2</t>
  </si>
  <si>
    <t>m3 c-133-5-75-b3</t>
  </si>
  <si>
    <t>m4 c-133-6-75-b1</t>
  </si>
  <si>
    <t>m4 c-133-6-75-b2</t>
  </si>
  <si>
    <t>m4 c-133-6-75-b3</t>
  </si>
  <si>
    <t>m5 c-140-3-75-b1</t>
  </si>
  <si>
    <t>m5 c-140-3-75-b2</t>
  </si>
  <si>
    <t>m5 c-140-3-75-b3</t>
  </si>
  <si>
    <t>m6 c-160-5-75-b1</t>
  </si>
  <si>
    <t>m6 c-160-5-75-b2</t>
  </si>
  <si>
    <t>m6 c-160-5-75-b3</t>
  </si>
  <si>
    <t>an)   NEW  Summary</t>
  </si>
  <si>
    <t>Short Circular Columns.    Slenderness &lt; 0.2    L/D &lt; 4</t>
  </si>
  <si>
    <t>No Moment</t>
  </si>
  <si>
    <t>Length</t>
  </si>
  <si>
    <t>Test</t>
  </si>
  <si>
    <t xml:space="preserve"> </t>
  </si>
  <si>
    <t>mm</t>
  </si>
  <si>
    <t>Nu kN</t>
  </si>
  <si>
    <t>Ref 101</t>
  </si>
  <si>
    <t>Av (15) =</t>
  </si>
  <si>
    <t>St Dev =</t>
  </si>
  <si>
    <t>Av (8) =</t>
  </si>
  <si>
    <t>Av (12) =</t>
  </si>
  <si>
    <t>Av (36) =</t>
  </si>
  <si>
    <t>3*D</t>
  </si>
  <si>
    <t xml:space="preserve">Total </t>
  </si>
  <si>
    <t>Av (107) =</t>
  </si>
  <si>
    <t>Concrete</t>
  </si>
  <si>
    <t>&gt; 75 MPa</t>
  </si>
  <si>
    <t>Ref. 109</t>
  </si>
  <si>
    <t>Note:</t>
  </si>
  <si>
    <t xml:space="preserve"> 'a' standard composite stub columns</t>
  </si>
  <si>
    <t>Av (18) =</t>
  </si>
  <si>
    <t>c = cyclic load</t>
  </si>
  <si>
    <t xml:space="preserve"> 'b' &amp; 'c' loaded on concrete</t>
  </si>
  <si>
    <t>m = monotonic</t>
  </si>
  <si>
    <t>Av 'a' (2)=</t>
  </si>
  <si>
    <t>16 loaded on concrete</t>
  </si>
  <si>
    <t>Av 'b' &amp; 'c'</t>
  </si>
  <si>
    <t>Short Circular No Moment</t>
  </si>
  <si>
    <t>from old DB (a)</t>
  </si>
  <si>
    <t>Giakoumelis</t>
  </si>
  <si>
    <t>fcyl</t>
  </si>
  <si>
    <t>EC4</t>
  </si>
  <si>
    <t>greased</t>
  </si>
  <si>
    <t>kN</t>
  </si>
  <si>
    <t>MPa</t>
  </si>
  <si>
    <t>C5</t>
  </si>
  <si>
    <t>C6</t>
  </si>
  <si>
    <t>C10</t>
  </si>
  <si>
    <t>C13</t>
  </si>
  <si>
    <t>C15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</si>
</sst>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_)"/>
    <numFmt numFmtId="165" formatCode="0.00_)"/>
    <numFmt numFmtId="166" formatCode="0.0_)"/>
    <numFmt numFmtId="167" formatCode="0.0"/>
    <numFmt numFmtId="168" formatCode="0.000"/>
  </numFmts>
  <fonts count="6">
    <font>
      <sz val="10"/>
      <name val="Arial"/>
    </font>
    <font>
      <b/>
      <sz val="10"/>
      <name val="Arial"/>
      <family val="2"/>
    </font>
    <font>
      <sz val="10"/>
      <name val="Courie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Border="0"/>
  </cellStyleXfs>
  <cellXfs count="79">
    <xf numFmtId="0" fontId="0" fillId="0" borderId="0" xfId="0"/>
    <xf numFmtId="0" fontId="1" fillId="0" borderId="1" xfId="1" applyFont="1" applyBorder="1" applyAlignment="1" applyProtection="1">
      <alignment horizontal="left"/>
    </xf>
    <xf numFmtId="0" fontId="1" fillId="0" borderId="1" xfId="1" applyFont="1" applyBorder="1"/>
    <xf numFmtId="0" fontId="3" fillId="0" borderId="1" xfId="1" applyFont="1" applyBorder="1" applyAlignment="1" applyProtection="1">
      <alignment horizontal="left"/>
    </xf>
    <xf numFmtId="165" fontId="3" fillId="0" borderId="1" xfId="1" applyNumberFormat="1" applyFont="1" applyBorder="1" applyAlignment="1" applyProtection="1">
      <alignment horizontal="left"/>
    </xf>
    <xf numFmtId="166" fontId="3" fillId="0" borderId="1" xfId="1" applyNumberFormat="1" applyFont="1" applyBorder="1" applyAlignment="1" applyProtection="1">
      <alignment horizontal="left"/>
    </xf>
    <xf numFmtId="0" fontId="3" fillId="0" borderId="1" xfId="1" applyFont="1" applyBorder="1"/>
    <xf numFmtId="164" fontId="3" fillId="0" borderId="1" xfId="1" applyNumberFormat="1" applyFont="1" applyBorder="1" applyAlignment="1" applyProtection="1">
      <alignment horizontal="left"/>
    </xf>
    <xf numFmtId="0" fontId="1" fillId="0" borderId="1" xfId="1" applyFont="1" applyBorder="1" applyAlignment="1" applyProtection="1">
      <alignment horizontal="center"/>
    </xf>
    <xf numFmtId="165" fontId="1" fillId="0" borderId="1" xfId="1" applyNumberFormat="1" applyFont="1" applyBorder="1" applyAlignment="1" applyProtection="1">
      <alignment horizontal="center"/>
    </xf>
    <xf numFmtId="166" fontId="1" fillId="0" borderId="1" xfId="1" applyNumberFormat="1" applyFont="1" applyBorder="1" applyAlignment="1" applyProtection="1">
      <alignment horizontal="center"/>
    </xf>
    <xf numFmtId="164" fontId="1" fillId="0" borderId="1" xfId="1" applyNumberFormat="1" applyFont="1" applyBorder="1" applyAlignment="1" applyProtection="1">
      <alignment horizontal="center"/>
    </xf>
    <xf numFmtId="164" fontId="4" fillId="0" borderId="1" xfId="1" applyNumberFormat="1" applyFont="1" applyBorder="1" applyAlignment="1" applyProtection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quotePrefix="1" applyFont="1" applyBorder="1" applyAlignment="1" applyProtection="1">
      <alignment horizontal="center"/>
    </xf>
    <xf numFmtId="0" fontId="1" fillId="0" borderId="1" xfId="1" quotePrefix="1" applyFont="1" applyBorder="1" applyAlignment="1">
      <alignment horizontal="center"/>
    </xf>
    <xf numFmtId="0" fontId="1" fillId="0" borderId="1" xfId="1" applyNumberFormat="1" applyFont="1" applyBorder="1" applyAlignment="1" applyProtection="1">
      <alignment horizontal="center"/>
    </xf>
    <xf numFmtId="165" fontId="3" fillId="0" borderId="1" xfId="1" applyNumberFormat="1" applyFont="1" applyBorder="1" applyAlignment="1" applyProtection="1">
      <alignment horizontal="center"/>
    </xf>
    <xf numFmtId="0" fontId="3" fillId="0" borderId="1" xfId="1" applyFont="1" applyBorder="1" applyAlignment="1">
      <alignment horizontal="center"/>
    </xf>
    <xf numFmtId="165" fontId="3" fillId="0" borderId="1" xfId="1" applyNumberFormat="1" applyFont="1" applyBorder="1" applyAlignment="1" applyProtection="1"/>
    <xf numFmtId="165" fontId="3" fillId="0" borderId="1" xfId="1" applyNumberFormat="1" applyFont="1" applyBorder="1" applyAlignment="1" applyProtection="1">
      <alignment horizontal="right"/>
    </xf>
    <xf numFmtId="0" fontId="3" fillId="0" borderId="1" xfId="1" applyFont="1" applyBorder="1" applyAlignment="1" applyProtection="1">
      <alignment horizontal="right"/>
    </xf>
    <xf numFmtId="166" fontId="3" fillId="0" borderId="1" xfId="1" applyNumberFormat="1" applyFont="1" applyBorder="1" applyAlignment="1" applyProtection="1">
      <alignment horizontal="right"/>
    </xf>
    <xf numFmtId="164" fontId="3" fillId="0" borderId="1" xfId="1" applyNumberFormat="1" applyFont="1" applyBorder="1" applyProtection="1"/>
    <xf numFmtId="0" fontId="3" fillId="0" borderId="1" xfId="1" applyFont="1" applyBorder="1" applyProtection="1"/>
    <xf numFmtId="2" fontId="3" fillId="0" borderId="1" xfId="1" applyNumberFormat="1" applyFont="1" applyBorder="1" applyProtection="1"/>
    <xf numFmtId="165" fontId="3" fillId="0" borderId="1" xfId="1" applyNumberFormat="1" applyFont="1" applyBorder="1" applyProtection="1"/>
    <xf numFmtId="0" fontId="3" fillId="0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 applyProtection="1">
      <alignment horizontal="right"/>
    </xf>
    <xf numFmtId="0" fontId="1" fillId="0" borderId="0" xfId="1" applyFont="1" applyFill="1" applyBorder="1" applyAlignment="1">
      <alignment horizontal="center"/>
    </xf>
    <xf numFmtId="0" fontId="3" fillId="0" borderId="0" xfId="1" applyFont="1" applyFill="1" applyBorder="1" applyAlignment="1" applyProtection="1">
      <alignment horizontal="right"/>
    </xf>
    <xf numFmtId="167" fontId="0" fillId="0" borderId="0" xfId="0" applyNumberFormat="1"/>
    <xf numFmtId="167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67" fontId="3" fillId="0" borderId="0" xfId="1" applyNumberFormat="1" applyFont="1" applyFill="1" applyBorder="1" applyAlignment="1" applyProtection="1">
      <alignment horizontal="right"/>
    </xf>
    <xf numFmtId="2" fontId="0" fillId="0" borderId="0" xfId="0" applyNumberFormat="1"/>
    <xf numFmtId="0" fontId="1" fillId="0" borderId="1" xfId="1" applyFont="1" applyBorder="1" applyAlignment="1">
      <alignment horizontal="left"/>
    </xf>
    <xf numFmtId="164" fontId="3" fillId="0" borderId="3" xfId="1" applyNumberFormat="1" applyFont="1" applyBorder="1" applyProtection="1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Protection="1"/>
    <xf numFmtId="166" fontId="3" fillId="0" borderId="1" xfId="1" applyNumberFormat="1" applyFont="1" applyBorder="1" applyProtection="1"/>
    <xf numFmtId="166" fontId="3" fillId="0" borderId="1" xfId="0" applyNumberFormat="1" applyFont="1" applyBorder="1" applyProtection="1"/>
    <xf numFmtId="0" fontId="3" fillId="0" borderId="1" xfId="0" applyFont="1" applyBorder="1"/>
    <xf numFmtId="1" fontId="0" fillId="0" borderId="0" xfId="0" applyNumberFormat="1"/>
    <xf numFmtId="2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3" fillId="0" borderId="1" xfId="1" applyNumberFormat="1" applyFont="1" applyBorder="1" applyProtection="1"/>
    <xf numFmtId="168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2" fontId="1" fillId="0" borderId="0" xfId="0" applyNumberFormat="1" applyFont="1"/>
    <xf numFmtId="2" fontId="3" fillId="0" borderId="1" xfId="1" applyNumberFormat="1" applyFont="1" applyBorder="1" applyAlignment="1" applyProtection="1">
      <alignment horizontal="right"/>
    </xf>
    <xf numFmtId="167" fontId="3" fillId="0" borderId="1" xfId="1" applyNumberFormat="1" applyFont="1" applyBorder="1" applyAlignment="1" applyProtection="1">
      <alignment horizontal="right"/>
    </xf>
    <xf numFmtId="1" fontId="3" fillId="0" borderId="0" xfId="1" applyNumberFormat="1" applyFont="1" applyFill="1" applyBorder="1" applyAlignment="1" applyProtection="1">
      <alignment horizontal="right"/>
    </xf>
    <xf numFmtId="1" fontId="3" fillId="0" borderId="0" xfId="1" applyNumberFormat="1" applyFont="1" applyFill="1" applyBorder="1" applyProtection="1"/>
    <xf numFmtId="1" fontId="3" fillId="0" borderId="2" xfId="1" applyNumberFormat="1" applyFont="1" applyFill="1" applyBorder="1" applyProtection="1"/>
    <xf numFmtId="9" fontId="0" fillId="0" borderId="0" xfId="0" applyNumberFormat="1"/>
    <xf numFmtId="0" fontId="5" fillId="0" borderId="1" xfId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1" applyFont="1" applyBorder="1" applyAlignment="1" applyProtection="1">
      <alignment horizontal="center"/>
    </xf>
    <xf numFmtId="0" fontId="1" fillId="0" borderId="5" xfId="1" applyFont="1" applyBorder="1" applyAlignment="1" applyProtection="1">
      <alignment horizontal="center"/>
    </xf>
    <xf numFmtId="0" fontId="1" fillId="0" borderId="3" xfId="1" applyFont="1" applyBorder="1" applyAlignment="1" applyProtection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_SHOR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Short Circular CFST Columns  Test v Eurocode 4</a:t>
            </a:r>
          </a:p>
        </c:rich>
      </c:tx>
      <c:layout>
        <c:manualLayout>
          <c:xMode val="edge"/>
          <c:yMode val="edge"/>
          <c:x val="0.3040330920372285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98345398138575E-2"/>
          <c:y val="0.12542372881355932"/>
          <c:w val="0.86246122026887284"/>
          <c:h val="0.76271186440677963"/>
        </c:manualLayout>
      </c:layout>
      <c:scatterChart>
        <c:scatterStyle val="lineMarker"/>
        <c:varyColors val="0"/>
        <c:ser>
          <c:idx val="0"/>
          <c:order val="0"/>
          <c:tx>
            <c:v>Old Data (243)</c:v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'from old a)'!$D$5:$D$247</c:f>
              <c:numCache>
                <c:formatCode>0</c:formatCode>
                <c:ptCount val="243"/>
                <c:pt idx="0">
                  <c:v>1076</c:v>
                </c:pt>
                <c:pt idx="1">
                  <c:v>1407</c:v>
                </c:pt>
                <c:pt idx="2">
                  <c:v>1535</c:v>
                </c:pt>
                <c:pt idx="3">
                  <c:v>1474</c:v>
                </c:pt>
                <c:pt idx="4">
                  <c:v>1429</c:v>
                </c:pt>
                <c:pt idx="5">
                  <c:v>1551</c:v>
                </c:pt>
                <c:pt idx="6">
                  <c:v>1551</c:v>
                </c:pt>
                <c:pt idx="7">
                  <c:v>1501</c:v>
                </c:pt>
                <c:pt idx="8">
                  <c:v>1501</c:v>
                </c:pt>
                <c:pt idx="9">
                  <c:v>1397</c:v>
                </c:pt>
                <c:pt idx="10">
                  <c:v>1397</c:v>
                </c:pt>
                <c:pt idx="11">
                  <c:v>971</c:v>
                </c:pt>
                <c:pt idx="12">
                  <c:v>1107</c:v>
                </c:pt>
                <c:pt idx="13">
                  <c:v>2542</c:v>
                </c:pt>
                <c:pt idx="14">
                  <c:v>2542</c:v>
                </c:pt>
                <c:pt idx="15">
                  <c:v>2977</c:v>
                </c:pt>
                <c:pt idx="16">
                  <c:v>2977</c:v>
                </c:pt>
                <c:pt idx="17">
                  <c:v>1692</c:v>
                </c:pt>
                <c:pt idx="18">
                  <c:v>1729</c:v>
                </c:pt>
                <c:pt idx="19">
                  <c:v>2145</c:v>
                </c:pt>
                <c:pt idx="20">
                  <c:v>2145</c:v>
                </c:pt>
                <c:pt idx="21">
                  <c:v>1225</c:v>
                </c:pt>
                <c:pt idx="22">
                  <c:v>1225</c:v>
                </c:pt>
                <c:pt idx="23">
                  <c:v>1688</c:v>
                </c:pt>
                <c:pt idx="24">
                  <c:v>1688</c:v>
                </c:pt>
                <c:pt idx="25">
                  <c:v>2050</c:v>
                </c:pt>
                <c:pt idx="26">
                  <c:v>16563</c:v>
                </c:pt>
                <c:pt idx="27">
                  <c:v>17953</c:v>
                </c:pt>
                <c:pt idx="28">
                  <c:v>18585</c:v>
                </c:pt>
                <c:pt idx="29">
                  <c:v>20535</c:v>
                </c:pt>
                <c:pt idx="30">
                  <c:v>24478</c:v>
                </c:pt>
                <c:pt idx="31">
                  <c:v>14728</c:v>
                </c:pt>
                <c:pt idx="32">
                  <c:v>33492</c:v>
                </c:pt>
                <c:pt idx="33">
                  <c:v>28980</c:v>
                </c:pt>
                <c:pt idx="34">
                  <c:v>45104</c:v>
                </c:pt>
                <c:pt idx="35">
                  <c:v>1426</c:v>
                </c:pt>
                <c:pt idx="36">
                  <c:v>856</c:v>
                </c:pt>
                <c:pt idx="37">
                  <c:v>505</c:v>
                </c:pt>
                <c:pt idx="38">
                  <c:v>261</c:v>
                </c:pt>
                <c:pt idx="39">
                  <c:v>236</c:v>
                </c:pt>
                <c:pt idx="40">
                  <c:v>596</c:v>
                </c:pt>
                <c:pt idx="41">
                  <c:v>834</c:v>
                </c:pt>
                <c:pt idx="42">
                  <c:v>952</c:v>
                </c:pt>
                <c:pt idx="43">
                  <c:v>1094</c:v>
                </c:pt>
                <c:pt idx="44">
                  <c:v>1232</c:v>
                </c:pt>
                <c:pt idx="45">
                  <c:v>600</c:v>
                </c:pt>
                <c:pt idx="46">
                  <c:v>731</c:v>
                </c:pt>
                <c:pt idx="47">
                  <c:v>923</c:v>
                </c:pt>
                <c:pt idx="48">
                  <c:v>1039</c:v>
                </c:pt>
                <c:pt idx="49">
                  <c:v>205</c:v>
                </c:pt>
                <c:pt idx="50">
                  <c:v>351</c:v>
                </c:pt>
                <c:pt idx="51">
                  <c:v>396</c:v>
                </c:pt>
                <c:pt idx="52">
                  <c:v>513</c:v>
                </c:pt>
                <c:pt idx="53">
                  <c:v>487</c:v>
                </c:pt>
                <c:pt idx="54">
                  <c:v>601</c:v>
                </c:pt>
                <c:pt idx="55">
                  <c:v>1787</c:v>
                </c:pt>
                <c:pt idx="56">
                  <c:v>495</c:v>
                </c:pt>
                <c:pt idx="57">
                  <c:v>495</c:v>
                </c:pt>
                <c:pt idx="58">
                  <c:v>495</c:v>
                </c:pt>
                <c:pt idx="59">
                  <c:v>495</c:v>
                </c:pt>
                <c:pt idx="60">
                  <c:v>801</c:v>
                </c:pt>
                <c:pt idx="61">
                  <c:v>801</c:v>
                </c:pt>
                <c:pt idx="62">
                  <c:v>801</c:v>
                </c:pt>
                <c:pt idx="63">
                  <c:v>801</c:v>
                </c:pt>
                <c:pt idx="64">
                  <c:v>801</c:v>
                </c:pt>
                <c:pt idx="65">
                  <c:v>1670</c:v>
                </c:pt>
                <c:pt idx="66">
                  <c:v>1523</c:v>
                </c:pt>
                <c:pt idx="67">
                  <c:v>1697</c:v>
                </c:pt>
                <c:pt idx="68">
                  <c:v>1306</c:v>
                </c:pt>
                <c:pt idx="69">
                  <c:v>1289</c:v>
                </c:pt>
                <c:pt idx="70">
                  <c:v>2272</c:v>
                </c:pt>
                <c:pt idx="71">
                  <c:v>2413</c:v>
                </c:pt>
                <c:pt idx="72">
                  <c:v>2551</c:v>
                </c:pt>
                <c:pt idx="73">
                  <c:v>2378</c:v>
                </c:pt>
                <c:pt idx="74">
                  <c:v>2216</c:v>
                </c:pt>
                <c:pt idx="75">
                  <c:v>2805</c:v>
                </c:pt>
                <c:pt idx="76">
                  <c:v>3301</c:v>
                </c:pt>
                <c:pt idx="77">
                  <c:v>3301</c:v>
                </c:pt>
                <c:pt idx="78">
                  <c:v>3141</c:v>
                </c:pt>
                <c:pt idx="79">
                  <c:v>3136</c:v>
                </c:pt>
                <c:pt idx="80">
                  <c:v>888</c:v>
                </c:pt>
                <c:pt idx="81">
                  <c:v>1100</c:v>
                </c:pt>
                <c:pt idx="82">
                  <c:v>1227</c:v>
                </c:pt>
                <c:pt idx="83">
                  <c:v>1273</c:v>
                </c:pt>
                <c:pt idx="84">
                  <c:v>1177</c:v>
                </c:pt>
                <c:pt idx="85">
                  <c:v>1563</c:v>
                </c:pt>
                <c:pt idx="86">
                  <c:v>1961</c:v>
                </c:pt>
                <c:pt idx="87">
                  <c:v>3030</c:v>
                </c:pt>
                <c:pt idx="88">
                  <c:v>2492</c:v>
                </c:pt>
                <c:pt idx="89">
                  <c:v>356</c:v>
                </c:pt>
                <c:pt idx="90">
                  <c:v>364</c:v>
                </c:pt>
                <c:pt idx="91">
                  <c:v>484</c:v>
                </c:pt>
                <c:pt idx="92">
                  <c:v>419</c:v>
                </c:pt>
                <c:pt idx="93">
                  <c:v>513</c:v>
                </c:pt>
                <c:pt idx="94">
                  <c:v>702</c:v>
                </c:pt>
                <c:pt idx="95">
                  <c:v>665</c:v>
                </c:pt>
                <c:pt idx="96">
                  <c:v>665</c:v>
                </c:pt>
                <c:pt idx="97">
                  <c:v>665</c:v>
                </c:pt>
                <c:pt idx="98">
                  <c:v>792</c:v>
                </c:pt>
                <c:pt idx="99">
                  <c:v>997</c:v>
                </c:pt>
                <c:pt idx="100">
                  <c:v>1082</c:v>
                </c:pt>
                <c:pt idx="101">
                  <c:v>1713</c:v>
                </c:pt>
                <c:pt idx="102">
                  <c:v>1761</c:v>
                </c:pt>
                <c:pt idx="103">
                  <c:v>1683</c:v>
                </c:pt>
                <c:pt idx="104">
                  <c:v>2930</c:v>
                </c:pt>
                <c:pt idx="105">
                  <c:v>3010</c:v>
                </c:pt>
                <c:pt idx="106">
                  <c:v>2908</c:v>
                </c:pt>
                <c:pt idx="107">
                  <c:v>722</c:v>
                </c:pt>
                <c:pt idx="108">
                  <c:v>955</c:v>
                </c:pt>
                <c:pt idx="109">
                  <c:v>954</c:v>
                </c:pt>
                <c:pt idx="110">
                  <c:v>955</c:v>
                </c:pt>
                <c:pt idx="111">
                  <c:v>1085</c:v>
                </c:pt>
                <c:pt idx="112">
                  <c:v>1084</c:v>
                </c:pt>
                <c:pt idx="113">
                  <c:v>1081</c:v>
                </c:pt>
                <c:pt idx="114">
                  <c:v>1132</c:v>
                </c:pt>
                <c:pt idx="115">
                  <c:v>1138</c:v>
                </c:pt>
                <c:pt idx="116">
                  <c:v>1140</c:v>
                </c:pt>
                <c:pt idx="117">
                  <c:v>1132</c:v>
                </c:pt>
                <c:pt idx="118">
                  <c:v>964</c:v>
                </c:pt>
                <c:pt idx="119">
                  <c:v>1369</c:v>
                </c:pt>
                <c:pt idx="120">
                  <c:v>518</c:v>
                </c:pt>
                <c:pt idx="121">
                  <c:v>703</c:v>
                </c:pt>
                <c:pt idx="122">
                  <c:v>811</c:v>
                </c:pt>
                <c:pt idx="123">
                  <c:v>4333</c:v>
                </c:pt>
                <c:pt idx="124">
                  <c:v>4841</c:v>
                </c:pt>
                <c:pt idx="125">
                  <c:v>4841</c:v>
                </c:pt>
                <c:pt idx="126">
                  <c:v>1310</c:v>
                </c:pt>
                <c:pt idx="127">
                  <c:v>1645</c:v>
                </c:pt>
                <c:pt idx="128">
                  <c:v>1667</c:v>
                </c:pt>
                <c:pt idx="129">
                  <c:v>889</c:v>
                </c:pt>
                <c:pt idx="130">
                  <c:v>889</c:v>
                </c:pt>
                <c:pt idx="131">
                  <c:v>974</c:v>
                </c:pt>
                <c:pt idx="132">
                  <c:v>974</c:v>
                </c:pt>
                <c:pt idx="133">
                  <c:v>974</c:v>
                </c:pt>
                <c:pt idx="134">
                  <c:v>971</c:v>
                </c:pt>
                <c:pt idx="135">
                  <c:v>1475</c:v>
                </c:pt>
                <c:pt idx="136">
                  <c:v>1475</c:v>
                </c:pt>
                <c:pt idx="137">
                  <c:v>1528</c:v>
                </c:pt>
                <c:pt idx="138">
                  <c:v>1528</c:v>
                </c:pt>
                <c:pt idx="139">
                  <c:v>1528</c:v>
                </c:pt>
                <c:pt idx="140">
                  <c:v>1528</c:v>
                </c:pt>
                <c:pt idx="141">
                  <c:v>1528</c:v>
                </c:pt>
                <c:pt idx="142">
                  <c:v>1528</c:v>
                </c:pt>
                <c:pt idx="143">
                  <c:v>1717</c:v>
                </c:pt>
                <c:pt idx="144">
                  <c:v>1797</c:v>
                </c:pt>
                <c:pt idx="145">
                  <c:v>1669</c:v>
                </c:pt>
                <c:pt idx="146">
                  <c:v>1669</c:v>
                </c:pt>
                <c:pt idx="147">
                  <c:v>1597</c:v>
                </c:pt>
                <c:pt idx="148">
                  <c:v>1597</c:v>
                </c:pt>
                <c:pt idx="149">
                  <c:v>1528</c:v>
                </c:pt>
                <c:pt idx="150">
                  <c:v>6464</c:v>
                </c:pt>
                <c:pt idx="151">
                  <c:v>6321</c:v>
                </c:pt>
                <c:pt idx="152">
                  <c:v>6260</c:v>
                </c:pt>
                <c:pt idx="153">
                  <c:v>6260</c:v>
                </c:pt>
                <c:pt idx="154">
                  <c:v>871</c:v>
                </c:pt>
                <c:pt idx="155">
                  <c:v>871</c:v>
                </c:pt>
                <c:pt idx="156">
                  <c:v>871</c:v>
                </c:pt>
                <c:pt idx="157">
                  <c:v>1374</c:v>
                </c:pt>
                <c:pt idx="158">
                  <c:v>1374</c:v>
                </c:pt>
                <c:pt idx="159">
                  <c:v>1521</c:v>
                </c:pt>
                <c:pt idx="160">
                  <c:v>1521</c:v>
                </c:pt>
                <c:pt idx="161">
                  <c:v>1971</c:v>
                </c:pt>
                <c:pt idx="162">
                  <c:v>1971</c:v>
                </c:pt>
                <c:pt idx="163">
                  <c:v>1971</c:v>
                </c:pt>
                <c:pt idx="164">
                  <c:v>2139</c:v>
                </c:pt>
                <c:pt idx="165">
                  <c:v>2139</c:v>
                </c:pt>
                <c:pt idx="166">
                  <c:v>2139</c:v>
                </c:pt>
                <c:pt idx="167">
                  <c:v>2502</c:v>
                </c:pt>
                <c:pt idx="168">
                  <c:v>2502</c:v>
                </c:pt>
                <c:pt idx="169">
                  <c:v>2502</c:v>
                </c:pt>
                <c:pt idx="170">
                  <c:v>796</c:v>
                </c:pt>
                <c:pt idx="171">
                  <c:v>802</c:v>
                </c:pt>
                <c:pt idx="172">
                  <c:v>1467</c:v>
                </c:pt>
                <c:pt idx="173">
                  <c:v>526</c:v>
                </c:pt>
                <c:pt idx="174">
                  <c:v>470</c:v>
                </c:pt>
                <c:pt idx="175">
                  <c:v>419</c:v>
                </c:pt>
                <c:pt idx="176">
                  <c:v>464</c:v>
                </c:pt>
                <c:pt idx="177">
                  <c:v>947</c:v>
                </c:pt>
                <c:pt idx="178">
                  <c:v>813</c:v>
                </c:pt>
                <c:pt idx="179">
                  <c:v>1507</c:v>
                </c:pt>
                <c:pt idx="180">
                  <c:v>535</c:v>
                </c:pt>
                <c:pt idx="181">
                  <c:v>429</c:v>
                </c:pt>
                <c:pt idx="182">
                  <c:v>480</c:v>
                </c:pt>
                <c:pt idx="183">
                  <c:v>775</c:v>
                </c:pt>
                <c:pt idx="184">
                  <c:v>1189</c:v>
                </c:pt>
                <c:pt idx="185">
                  <c:v>1354</c:v>
                </c:pt>
                <c:pt idx="186">
                  <c:v>334</c:v>
                </c:pt>
                <c:pt idx="187">
                  <c:v>1867</c:v>
                </c:pt>
                <c:pt idx="188">
                  <c:v>3079</c:v>
                </c:pt>
                <c:pt idx="189">
                  <c:v>2750</c:v>
                </c:pt>
                <c:pt idx="190">
                  <c:v>449</c:v>
                </c:pt>
                <c:pt idx="191">
                  <c:v>720</c:v>
                </c:pt>
                <c:pt idx="192">
                  <c:v>933</c:v>
                </c:pt>
                <c:pt idx="193">
                  <c:v>691</c:v>
                </c:pt>
                <c:pt idx="194">
                  <c:v>1467</c:v>
                </c:pt>
                <c:pt idx="195">
                  <c:v>681</c:v>
                </c:pt>
                <c:pt idx="196">
                  <c:v>677</c:v>
                </c:pt>
                <c:pt idx="197">
                  <c:v>679</c:v>
                </c:pt>
                <c:pt idx="198">
                  <c:v>679</c:v>
                </c:pt>
                <c:pt idx="199">
                  <c:v>3621</c:v>
                </c:pt>
                <c:pt idx="200">
                  <c:v>6632</c:v>
                </c:pt>
                <c:pt idx="201">
                  <c:v>789</c:v>
                </c:pt>
                <c:pt idx="202">
                  <c:v>790</c:v>
                </c:pt>
                <c:pt idx="203">
                  <c:v>4034</c:v>
                </c:pt>
                <c:pt idx="204">
                  <c:v>7593</c:v>
                </c:pt>
                <c:pt idx="205">
                  <c:v>862</c:v>
                </c:pt>
                <c:pt idx="206">
                  <c:v>867</c:v>
                </c:pt>
                <c:pt idx="207">
                  <c:v>4285</c:v>
                </c:pt>
                <c:pt idx="208">
                  <c:v>8431</c:v>
                </c:pt>
                <c:pt idx="209">
                  <c:v>675</c:v>
                </c:pt>
                <c:pt idx="210">
                  <c:v>680</c:v>
                </c:pt>
                <c:pt idx="211">
                  <c:v>679</c:v>
                </c:pt>
                <c:pt idx="212">
                  <c:v>3620</c:v>
                </c:pt>
                <c:pt idx="213">
                  <c:v>6626</c:v>
                </c:pt>
                <c:pt idx="214">
                  <c:v>790</c:v>
                </c:pt>
                <c:pt idx="215">
                  <c:v>785</c:v>
                </c:pt>
                <c:pt idx="216">
                  <c:v>4033</c:v>
                </c:pt>
                <c:pt idx="217">
                  <c:v>7589</c:v>
                </c:pt>
                <c:pt idx="218">
                  <c:v>867</c:v>
                </c:pt>
                <c:pt idx="219">
                  <c:v>862</c:v>
                </c:pt>
                <c:pt idx="220">
                  <c:v>4289</c:v>
                </c:pt>
                <c:pt idx="221">
                  <c:v>8440</c:v>
                </c:pt>
                <c:pt idx="222">
                  <c:v>727</c:v>
                </c:pt>
                <c:pt idx="223">
                  <c:v>727</c:v>
                </c:pt>
                <c:pt idx="224">
                  <c:v>727</c:v>
                </c:pt>
                <c:pt idx="225">
                  <c:v>727</c:v>
                </c:pt>
                <c:pt idx="226">
                  <c:v>727</c:v>
                </c:pt>
                <c:pt idx="227">
                  <c:v>727</c:v>
                </c:pt>
                <c:pt idx="228">
                  <c:v>2204</c:v>
                </c:pt>
                <c:pt idx="229">
                  <c:v>2204</c:v>
                </c:pt>
                <c:pt idx="230">
                  <c:v>2204</c:v>
                </c:pt>
                <c:pt idx="231">
                  <c:v>2204</c:v>
                </c:pt>
                <c:pt idx="232">
                  <c:v>2204</c:v>
                </c:pt>
                <c:pt idx="233">
                  <c:v>2204</c:v>
                </c:pt>
                <c:pt idx="234">
                  <c:v>1127</c:v>
                </c:pt>
                <c:pt idx="235">
                  <c:v>1127</c:v>
                </c:pt>
                <c:pt idx="236">
                  <c:v>1096</c:v>
                </c:pt>
                <c:pt idx="237">
                  <c:v>1093</c:v>
                </c:pt>
                <c:pt idx="238">
                  <c:v>1061</c:v>
                </c:pt>
                <c:pt idx="239">
                  <c:v>1037</c:v>
                </c:pt>
                <c:pt idx="240">
                  <c:v>1037</c:v>
                </c:pt>
                <c:pt idx="241">
                  <c:v>1026</c:v>
                </c:pt>
                <c:pt idx="242">
                  <c:v>836</c:v>
                </c:pt>
              </c:numCache>
            </c:numRef>
          </c:xVal>
          <c:yVal>
            <c:numRef>
              <c:f>'from old a)'!$B$5:$B$247</c:f>
              <c:numCache>
                <c:formatCode>General</c:formatCode>
                <c:ptCount val="243"/>
                <c:pt idx="0">
                  <c:v>1326</c:v>
                </c:pt>
                <c:pt idx="1">
                  <c:v>1219</c:v>
                </c:pt>
                <c:pt idx="2">
                  <c:v>1308</c:v>
                </c:pt>
                <c:pt idx="3">
                  <c:v>1330</c:v>
                </c:pt>
                <c:pt idx="4">
                  <c:v>1557</c:v>
                </c:pt>
                <c:pt idx="5">
                  <c:v>1432</c:v>
                </c:pt>
                <c:pt idx="6">
                  <c:v>1463</c:v>
                </c:pt>
                <c:pt idx="7">
                  <c:v>1966</c:v>
                </c:pt>
                <c:pt idx="8">
                  <c:v>1970</c:v>
                </c:pt>
                <c:pt idx="9">
                  <c:v>1984</c:v>
                </c:pt>
                <c:pt idx="10">
                  <c:v>1984</c:v>
                </c:pt>
                <c:pt idx="11">
                  <c:v>969</c:v>
                </c:pt>
                <c:pt idx="12">
                  <c:v>1069</c:v>
                </c:pt>
                <c:pt idx="13">
                  <c:v>2120</c:v>
                </c:pt>
                <c:pt idx="14">
                  <c:v>2060</c:v>
                </c:pt>
                <c:pt idx="15">
                  <c:v>2720</c:v>
                </c:pt>
                <c:pt idx="16">
                  <c:v>2730</c:v>
                </c:pt>
                <c:pt idx="17">
                  <c:v>1410</c:v>
                </c:pt>
                <c:pt idx="18">
                  <c:v>1560</c:v>
                </c:pt>
                <c:pt idx="19">
                  <c:v>2080</c:v>
                </c:pt>
                <c:pt idx="20">
                  <c:v>2070</c:v>
                </c:pt>
                <c:pt idx="21">
                  <c:v>1220</c:v>
                </c:pt>
                <c:pt idx="22">
                  <c:v>1220</c:v>
                </c:pt>
                <c:pt idx="23">
                  <c:v>1640</c:v>
                </c:pt>
                <c:pt idx="24">
                  <c:v>1710</c:v>
                </c:pt>
                <c:pt idx="25">
                  <c:v>2230</c:v>
                </c:pt>
                <c:pt idx="26">
                  <c:v>16650</c:v>
                </c:pt>
                <c:pt idx="27">
                  <c:v>18000</c:v>
                </c:pt>
                <c:pt idx="28">
                  <c:v>18600</c:v>
                </c:pt>
                <c:pt idx="29">
                  <c:v>20500</c:v>
                </c:pt>
                <c:pt idx="30">
                  <c:v>24400</c:v>
                </c:pt>
                <c:pt idx="31">
                  <c:v>15000</c:v>
                </c:pt>
                <c:pt idx="32">
                  <c:v>33600</c:v>
                </c:pt>
                <c:pt idx="33">
                  <c:v>30000</c:v>
                </c:pt>
                <c:pt idx="34">
                  <c:v>46000</c:v>
                </c:pt>
                <c:pt idx="35">
                  <c:v>1647</c:v>
                </c:pt>
                <c:pt idx="36">
                  <c:v>1033</c:v>
                </c:pt>
                <c:pt idx="37">
                  <c:v>602</c:v>
                </c:pt>
                <c:pt idx="38">
                  <c:v>334</c:v>
                </c:pt>
                <c:pt idx="39">
                  <c:v>273</c:v>
                </c:pt>
                <c:pt idx="40">
                  <c:v>535</c:v>
                </c:pt>
                <c:pt idx="41">
                  <c:v>681</c:v>
                </c:pt>
                <c:pt idx="42">
                  <c:v>725</c:v>
                </c:pt>
                <c:pt idx="43">
                  <c:v>872</c:v>
                </c:pt>
                <c:pt idx="44">
                  <c:v>1006</c:v>
                </c:pt>
                <c:pt idx="45">
                  <c:v>628</c:v>
                </c:pt>
                <c:pt idx="46">
                  <c:v>660</c:v>
                </c:pt>
                <c:pt idx="47">
                  <c:v>954</c:v>
                </c:pt>
                <c:pt idx="48">
                  <c:v>971</c:v>
                </c:pt>
                <c:pt idx="49">
                  <c:v>239</c:v>
                </c:pt>
                <c:pt idx="50">
                  <c:v>396</c:v>
                </c:pt>
                <c:pt idx="51">
                  <c:v>412</c:v>
                </c:pt>
                <c:pt idx="52">
                  <c:v>491</c:v>
                </c:pt>
                <c:pt idx="53">
                  <c:v>489</c:v>
                </c:pt>
                <c:pt idx="54">
                  <c:v>605</c:v>
                </c:pt>
                <c:pt idx="55">
                  <c:v>1594</c:v>
                </c:pt>
                <c:pt idx="56">
                  <c:v>470</c:v>
                </c:pt>
                <c:pt idx="57">
                  <c:v>480</c:v>
                </c:pt>
                <c:pt idx="58">
                  <c:v>420</c:v>
                </c:pt>
                <c:pt idx="59">
                  <c:v>465</c:v>
                </c:pt>
                <c:pt idx="60">
                  <c:v>770</c:v>
                </c:pt>
                <c:pt idx="61">
                  <c:v>775</c:v>
                </c:pt>
                <c:pt idx="62">
                  <c:v>740</c:v>
                </c:pt>
                <c:pt idx="63">
                  <c:v>690</c:v>
                </c:pt>
                <c:pt idx="64">
                  <c:v>775</c:v>
                </c:pt>
                <c:pt idx="65">
                  <c:v>1661.6</c:v>
                </c:pt>
                <c:pt idx="66">
                  <c:v>1678.2</c:v>
                </c:pt>
                <c:pt idx="67">
                  <c:v>1694.8</c:v>
                </c:pt>
                <c:pt idx="68">
                  <c:v>1376.6</c:v>
                </c:pt>
                <c:pt idx="69">
                  <c:v>1349.9</c:v>
                </c:pt>
                <c:pt idx="70">
                  <c:v>2295</c:v>
                </c:pt>
                <c:pt idx="71">
                  <c:v>2592</c:v>
                </c:pt>
                <c:pt idx="72">
                  <c:v>2602</c:v>
                </c:pt>
                <c:pt idx="73">
                  <c:v>2295</c:v>
                </c:pt>
                <c:pt idx="74">
                  <c:v>2451</c:v>
                </c:pt>
                <c:pt idx="75">
                  <c:v>2673</c:v>
                </c:pt>
                <c:pt idx="76">
                  <c:v>3360</c:v>
                </c:pt>
                <c:pt idx="77">
                  <c:v>3260</c:v>
                </c:pt>
                <c:pt idx="78">
                  <c:v>3058</c:v>
                </c:pt>
                <c:pt idx="79">
                  <c:v>3070</c:v>
                </c:pt>
                <c:pt idx="80">
                  <c:v>855</c:v>
                </c:pt>
                <c:pt idx="81">
                  <c:v>1145</c:v>
                </c:pt>
                <c:pt idx="82">
                  <c:v>1116</c:v>
                </c:pt>
                <c:pt idx="83">
                  <c:v>1174</c:v>
                </c:pt>
                <c:pt idx="84">
                  <c:v>1250</c:v>
                </c:pt>
                <c:pt idx="85">
                  <c:v>1535</c:v>
                </c:pt>
                <c:pt idx="86">
                  <c:v>1618</c:v>
                </c:pt>
                <c:pt idx="87">
                  <c:v>3123</c:v>
                </c:pt>
                <c:pt idx="88">
                  <c:v>2309</c:v>
                </c:pt>
                <c:pt idx="89">
                  <c:v>370</c:v>
                </c:pt>
                <c:pt idx="90">
                  <c:v>485</c:v>
                </c:pt>
                <c:pt idx="91">
                  <c:v>450</c:v>
                </c:pt>
                <c:pt idx="92">
                  <c:v>539</c:v>
                </c:pt>
                <c:pt idx="93">
                  <c:v>550</c:v>
                </c:pt>
                <c:pt idx="94">
                  <c:v>686</c:v>
                </c:pt>
                <c:pt idx="95">
                  <c:v>727</c:v>
                </c:pt>
                <c:pt idx="96">
                  <c:v>734</c:v>
                </c:pt>
                <c:pt idx="97">
                  <c:v>803</c:v>
                </c:pt>
                <c:pt idx="98">
                  <c:v>981</c:v>
                </c:pt>
                <c:pt idx="99">
                  <c:v>1294</c:v>
                </c:pt>
                <c:pt idx="100">
                  <c:v>1300</c:v>
                </c:pt>
                <c:pt idx="101">
                  <c:v>1577</c:v>
                </c:pt>
                <c:pt idx="102">
                  <c:v>1775</c:v>
                </c:pt>
                <c:pt idx="103">
                  <c:v>1746</c:v>
                </c:pt>
                <c:pt idx="104">
                  <c:v>3579</c:v>
                </c:pt>
                <c:pt idx="105">
                  <c:v>3789</c:v>
                </c:pt>
                <c:pt idx="106">
                  <c:v>3357</c:v>
                </c:pt>
                <c:pt idx="107">
                  <c:v>840</c:v>
                </c:pt>
                <c:pt idx="108">
                  <c:v>1141</c:v>
                </c:pt>
                <c:pt idx="109">
                  <c:v>1091</c:v>
                </c:pt>
                <c:pt idx="110">
                  <c:v>1139</c:v>
                </c:pt>
                <c:pt idx="111">
                  <c:v>1041</c:v>
                </c:pt>
                <c:pt idx="112">
                  <c:v>1110</c:v>
                </c:pt>
                <c:pt idx="113">
                  <c:v>1030</c:v>
                </c:pt>
                <c:pt idx="114">
                  <c:v>1122</c:v>
                </c:pt>
                <c:pt idx="115">
                  <c:v>1234</c:v>
                </c:pt>
                <c:pt idx="116">
                  <c:v>1102</c:v>
                </c:pt>
                <c:pt idx="117">
                  <c:v>1140</c:v>
                </c:pt>
                <c:pt idx="118">
                  <c:v>1240</c:v>
                </c:pt>
                <c:pt idx="119">
                  <c:v>1440</c:v>
                </c:pt>
                <c:pt idx="120">
                  <c:v>699.7</c:v>
                </c:pt>
                <c:pt idx="121">
                  <c:v>815.4</c:v>
                </c:pt>
                <c:pt idx="122">
                  <c:v>907.5</c:v>
                </c:pt>
                <c:pt idx="123">
                  <c:v>5576</c:v>
                </c:pt>
                <c:pt idx="124">
                  <c:v>5194</c:v>
                </c:pt>
                <c:pt idx="125">
                  <c:v>5292</c:v>
                </c:pt>
                <c:pt idx="126">
                  <c:v>1294</c:v>
                </c:pt>
                <c:pt idx="127">
                  <c:v>1637</c:v>
                </c:pt>
                <c:pt idx="128">
                  <c:v>1691</c:v>
                </c:pt>
                <c:pt idx="129">
                  <c:v>1044</c:v>
                </c:pt>
                <c:pt idx="130">
                  <c:v>1166</c:v>
                </c:pt>
                <c:pt idx="131">
                  <c:v>1176</c:v>
                </c:pt>
                <c:pt idx="132">
                  <c:v>1171</c:v>
                </c:pt>
                <c:pt idx="133">
                  <c:v>1073</c:v>
                </c:pt>
                <c:pt idx="134">
                  <c:v>1122</c:v>
                </c:pt>
                <c:pt idx="135">
                  <c:v>1744</c:v>
                </c:pt>
                <c:pt idx="136">
                  <c:v>1695</c:v>
                </c:pt>
                <c:pt idx="137">
                  <c:v>1862</c:v>
                </c:pt>
                <c:pt idx="138">
                  <c:v>1872</c:v>
                </c:pt>
                <c:pt idx="139">
                  <c:v>1695</c:v>
                </c:pt>
                <c:pt idx="140">
                  <c:v>1735</c:v>
                </c:pt>
                <c:pt idx="141">
                  <c:v>2029</c:v>
                </c:pt>
                <c:pt idx="142">
                  <c:v>2107</c:v>
                </c:pt>
                <c:pt idx="143">
                  <c:v>2421</c:v>
                </c:pt>
                <c:pt idx="144">
                  <c:v>2587</c:v>
                </c:pt>
                <c:pt idx="145">
                  <c:v>1784</c:v>
                </c:pt>
                <c:pt idx="146">
                  <c:v>2038</c:v>
                </c:pt>
                <c:pt idx="147">
                  <c:v>1999</c:v>
                </c:pt>
                <c:pt idx="148">
                  <c:v>2043</c:v>
                </c:pt>
                <c:pt idx="149">
                  <c:v>1975</c:v>
                </c:pt>
                <c:pt idx="150">
                  <c:v>7909</c:v>
                </c:pt>
                <c:pt idx="151">
                  <c:v>5900</c:v>
                </c:pt>
                <c:pt idx="152">
                  <c:v>5890</c:v>
                </c:pt>
                <c:pt idx="153">
                  <c:v>6380</c:v>
                </c:pt>
                <c:pt idx="154">
                  <c:v>1117.2</c:v>
                </c:pt>
                <c:pt idx="155">
                  <c:v>1058.4000000000001</c:v>
                </c:pt>
                <c:pt idx="156">
                  <c:v>1073.0999999999999</c:v>
                </c:pt>
                <c:pt idx="157">
                  <c:v>1275</c:v>
                </c:pt>
                <c:pt idx="158">
                  <c:v>1239</c:v>
                </c:pt>
                <c:pt idx="159">
                  <c:v>1491</c:v>
                </c:pt>
                <c:pt idx="160">
                  <c:v>1339</c:v>
                </c:pt>
                <c:pt idx="161">
                  <c:v>1995</c:v>
                </c:pt>
                <c:pt idx="162">
                  <c:v>1991</c:v>
                </c:pt>
                <c:pt idx="163">
                  <c:v>1962</c:v>
                </c:pt>
                <c:pt idx="164">
                  <c:v>2273</c:v>
                </c:pt>
                <c:pt idx="165">
                  <c:v>2158</c:v>
                </c:pt>
                <c:pt idx="166">
                  <c:v>2253</c:v>
                </c:pt>
                <c:pt idx="167">
                  <c:v>3404</c:v>
                </c:pt>
                <c:pt idx="168">
                  <c:v>3370</c:v>
                </c:pt>
                <c:pt idx="169">
                  <c:v>3364</c:v>
                </c:pt>
                <c:pt idx="170">
                  <c:v>828</c:v>
                </c:pt>
                <c:pt idx="171">
                  <c:v>777</c:v>
                </c:pt>
                <c:pt idx="172">
                  <c:v>1637</c:v>
                </c:pt>
                <c:pt idx="173">
                  <c:v>670</c:v>
                </c:pt>
                <c:pt idx="174">
                  <c:v>537</c:v>
                </c:pt>
                <c:pt idx="175">
                  <c:v>505</c:v>
                </c:pt>
                <c:pt idx="176">
                  <c:v>538</c:v>
                </c:pt>
                <c:pt idx="177">
                  <c:v>970</c:v>
                </c:pt>
                <c:pt idx="178">
                  <c:v>828</c:v>
                </c:pt>
                <c:pt idx="179">
                  <c:v>1637</c:v>
                </c:pt>
                <c:pt idx="180">
                  <c:v>670</c:v>
                </c:pt>
                <c:pt idx="181">
                  <c:v>505</c:v>
                </c:pt>
                <c:pt idx="182">
                  <c:v>537</c:v>
                </c:pt>
                <c:pt idx="183">
                  <c:v>848</c:v>
                </c:pt>
                <c:pt idx="184">
                  <c:v>1080</c:v>
                </c:pt>
                <c:pt idx="185">
                  <c:v>1191</c:v>
                </c:pt>
                <c:pt idx="186">
                  <c:v>344</c:v>
                </c:pt>
                <c:pt idx="187">
                  <c:v>2636</c:v>
                </c:pt>
                <c:pt idx="188">
                  <c:v>3420</c:v>
                </c:pt>
                <c:pt idx="189">
                  <c:v>3038</c:v>
                </c:pt>
                <c:pt idx="190">
                  <c:v>538</c:v>
                </c:pt>
                <c:pt idx="191">
                  <c:v>931</c:v>
                </c:pt>
                <c:pt idx="192">
                  <c:v>970</c:v>
                </c:pt>
                <c:pt idx="193">
                  <c:v>916</c:v>
                </c:pt>
                <c:pt idx="194">
                  <c:v>1637</c:v>
                </c:pt>
                <c:pt idx="195">
                  <c:v>736</c:v>
                </c:pt>
                <c:pt idx="196">
                  <c:v>635</c:v>
                </c:pt>
                <c:pt idx="197">
                  <c:v>679</c:v>
                </c:pt>
                <c:pt idx="198">
                  <c:v>632</c:v>
                </c:pt>
                <c:pt idx="199">
                  <c:v>3568</c:v>
                </c:pt>
                <c:pt idx="200">
                  <c:v>6901</c:v>
                </c:pt>
                <c:pt idx="201">
                  <c:v>864</c:v>
                </c:pt>
                <c:pt idx="202">
                  <c:v>803</c:v>
                </c:pt>
                <c:pt idx="203">
                  <c:v>4200</c:v>
                </c:pt>
                <c:pt idx="204">
                  <c:v>7742</c:v>
                </c:pt>
                <c:pt idx="205">
                  <c:v>859</c:v>
                </c:pt>
                <c:pt idx="206">
                  <c:v>926</c:v>
                </c:pt>
                <c:pt idx="207">
                  <c:v>4283</c:v>
                </c:pt>
                <c:pt idx="208">
                  <c:v>9297</c:v>
                </c:pt>
                <c:pt idx="209">
                  <c:v>660</c:v>
                </c:pt>
                <c:pt idx="210">
                  <c:v>649</c:v>
                </c:pt>
                <c:pt idx="211">
                  <c:v>682</c:v>
                </c:pt>
                <c:pt idx="212">
                  <c:v>3568</c:v>
                </c:pt>
                <c:pt idx="213">
                  <c:v>6565</c:v>
                </c:pt>
                <c:pt idx="214">
                  <c:v>800</c:v>
                </c:pt>
                <c:pt idx="215">
                  <c:v>742</c:v>
                </c:pt>
                <c:pt idx="216">
                  <c:v>4023</c:v>
                </c:pt>
                <c:pt idx="217">
                  <c:v>7933</c:v>
                </c:pt>
                <c:pt idx="218">
                  <c:v>877</c:v>
                </c:pt>
                <c:pt idx="219">
                  <c:v>862</c:v>
                </c:pt>
                <c:pt idx="220">
                  <c:v>4214</c:v>
                </c:pt>
                <c:pt idx="221">
                  <c:v>8289</c:v>
                </c:pt>
                <c:pt idx="222">
                  <c:v>708</c:v>
                </c:pt>
                <c:pt idx="223">
                  <c:v>820</c:v>
                </c:pt>
                <c:pt idx="224">
                  <c:v>766</c:v>
                </c:pt>
                <c:pt idx="225">
                  <c:v>820</c:v>
                </c:pt>
                <c:pt idx="226">
                  <c:v>780</c:v>
                </c:pt>
                <c:pt idx="227">
                  <c:v>814</c:v>
                </c:pt>
                <c:pt idx="228">
                  <c:v>2320</c:v>
                </c:pt>
                <c:pt idx="229">
                  <c:v>2330</c:v>
                </c:pt>
                <c:pt idx="230">
                  <c:v>2160</c:v>
                </c:pt>
                <c:pt idx="231">
                  <c:v>2160</c:v>
                </c:pt>
                <c:pt idx="232">
                  <c:v>2383</c:v>
                </c:pt>
                <c:pt idx="233">
                  <c:v>2256</c:v>
                </c:pt>
                <c:pt idx="234">
                  <c:v>1244.5999999999999</c:v>
                </c:pt>
                <c:pt idx="235">
                  <c:v>1234.8</c:v>
                </c:pt>
                <c:pt idx="236">
                  <c:v>1254.4000000000001</c:v>
                </c:pt>
                <c:pt idx="237">
                  <c:v>1225</c:v>
                </c:pt>
                <c:pt idx="238">
                  <c:v>1161.3</c:v>
                </c:pt>
                <c:pt idx="239">
                  <c:v>1166.2</c:v>
                </c:pt>
                <c:pt idx="240">
                  <c:v>1210.3</c:v>
                </c:pt>
                <c:pt idx="241">
                  <c:v>1871.8</c:v>
                </c:pt>
                <c:pt idx="242">
                  <c:v>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FF-495D-B9F0-C360F2FD25CD}"/>
            </c:ext>
          </c:extLst>
        </c:ser>
        <c:ser>
          <c:idx val="1"/>
          <c:order val="1"/>
          <c:tx>
            <c:v> Giakoumelis (15)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Data!$O$7:$O$21</c:f>
              <c:numCache>
                <c:formatCode>General</c:formatCode>
                <c:ptCount val="15"/>
                <c:pt idx="0">
                  <c:v>460</c:v>
                </c:pt>
                <c:pt idx="1">
                  <c:v>596</c:v>
                </c:pt>
                <c:pt idx="2">
                  <c:v>933</c:v>
                </c:pt>
                <c:pt idx="3">
                  <c:v>1347</c:v>
                </c:pt>
                <c:pt idx="4">
                  <c:v>930</c:v>
                </c:pt>
                <c:pt idx="5">
                  <c:v>1357</c:v>
                </c:pt>
                <c:pt idx="6">
                  <c:v>1100</c:v>
                </c:pt>
                <c:pt idx="7">
                  <c:v>1555</c:v>
                </c:pt>
                <c:pt idx="8">
                  <c:v>1263</c:v>
                </c:pt>
                <c:pt idx="9">
                  <c:v>1072</c:v>
                </c:pt>
                <c:pt idx="10">
                  <c:v>1068</c:v>
                </c:pt>
                <c:pt idx="11">
                  <c:v>914</c:v>
                </c:pt>
                <c:pt idx="12">
                  <c:v>911</c:v>
                </c:pt>
                <c:pt idx="13">
                  <c:v>1362</c:v>
                </c:pt>
                <c:pt idx="14">
                  <c:v>1360</c:v>
                </c:pt>
              </c:numCache>
            </c:numRef>
          </c:xVal>
          <c:yVal>
            <c:numRef>
              <c:f>Data!$J$7:$J$21</c:f>
              <c:numCache>
                <c:formatCode>General</c:formatCode>
                <c:ptCount val="15"/>
                <c:pt idx="0">
                  <c:v>539</c:v>
                </c:pt>
                <c:pt idx="1">
                  <c:v>805.8</c:v>
                </c:pt>
                <c:pt idx="2">
                  <c:v>948</c:v>
                </c:pt>
                <c:pt idx="3">
                  <c:v>1308</c:v>
                </c:pt>
                <c:pt idx="4">
                  <c:v>929</c:v>
                </c:pt>
                <c:pt idx="5">
                  <c:v>1359</c:v>
                </c:pt>
                <c:pt idx="6">
                  <c:v>1380</c:v>
                </c:pt>
                <c:pt idx="7">
                  <c:v>1787</c:v>
                </c:pt>
                <c:pt idx="8">
                  <c:v>1413</c:v>
                </c:pt>
                <c:pt idx="9">
                  <c:v>1038</c:v>
                </c:pt>
                <c:pt idx="10">
                  <c:v>1067</c:v>
                </c:pt>
                <c:pt idx="11">
                  <c:v>998</c:v>
                </c:pt>
                <c:pt idx="12">
                  <c:v>948</c:v>
                </c:pt>
                <c:pt idx="13">
                  <c:v>1359</c:v>
                </c:pt>
                <c:pt idx="14">
                  <c:v>1182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FF-495D-B9F0-C360F2FD25CD}"/>
            </c:ext>
          </c:extLst>
        </c:ser>
        <c:ser>
          <c:idx val="2"/>
          <c:order val="2"/>
          <c:tx>
            <c:v> Ellobody (8)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Data!$O$24:$O$31</c:f>
              <c:numCache>
                <c:formatCode>General</c:formatCode>
                <c:ptCount val="8"/>
                <c:pt idx="0">
                  <c:v>1692</c:v>
                </c:pt>
                <c:pt idx="1">
                  <c:v>2671</c:v>
                </c:pt>
                <c:pt idx="2">
                  <c:v>3493</c:v>
                </c:pt>
                <c:pt idx="3">
                  <c:v>4042</c:v>
                </c:pt>
                <c:pt idx="4">
                  <c:v>5440</c:v>
                </c:pt>
                <c:pt idx="5">
                  <c:v>7238</c:v>
                </c:pt>
                <c:pt idx="6">
                  <c:v>7755</c:v>
                </c:pt>
                <c:pt idx="7">
                  <c:v>11753</c:v>
                </c:pt>
              </c:numCache>
            </c:numRef>
          </c:xVal>
          <c:yVal>
            <c:numRef>
              <c:f>Data!$J$24:$J$31</c:f>
              <c:numCache>
                <c:formatCode>General</c:formatCode>
                <c:ptCount val="8"/>
                <c:pt idx="0">
                  <c:v>1768</c:v>
                </c:pt>
                <c:pt idx="1">
                  <c:v>2778</c:v>
                </c:pt>
                <c:pt idx="2">
                  <c:v>3035</c:v>
                </c:pt>
                <c:pt idx="3">
                  <c:v>3647</c:v>
                </c:pt>
                <c:pt idx="4">
                  <c:v>5578</c:v>
                </c:pt>
                <c:pt idx="5">
                  <c:v>5633</c:v>
                </c:pt>
                <c:pt idx="6">
                  <c:v>7260</c:v>
                </c:pt>
                <c:pt idx="7">
                  <c:v>11505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FF-495D-B9F0-C360F2FD25CD}"/>
            </c:ext>
          </c:extLst>
        </c:ser>
        <c:ser>
          <c:idx val="3"/>
          <c:order val="3"/>
          <c:tx>
            <c:v> Bai &amp; L (12)i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Data!$O$34:$O$45</c:f>
              <c:numCache>
                <c:formatCode>General</c:formatCode>
                <c:ptCount val="12"/>
                <c:pt idx="0">
                  <c:v>1418</c:v>
                </c:pt>
                <c:pt idx="1">
                  <c:v>1418</c:v>
                </c:pt>
                <c:pt idx="2">
                  <c:v>1418</c:v>
                </c:pt>
                <c:pt idx="3">
                  <c:v>1638</c:v>
                </c:pt>
                <c:pt idx="4">
                  <c:v>1638</c:v>
                </c:pt>
                <c:pt idx="5">
                  <c:v>1638</c:v>
                </c:pt>
                <c:pt idx="6">
                  <c:v>1769</c:v>
                </c:pt>
                <c:pt idx="7">
                  <c:v>1769</c:v>
                </c:pt>
                <c:pt idx="8">
                  <c:v>1769</c:v>
                </c:pt>
                <c:pt idx="9">
                  <c:v>1942</c:v>
                </c:pt>
                <c:pt idx="10">
                  <c:v>1942</c:v>
                </c:pt>
                <c:pt idx="11">
                  <c:v>1942</c:v>
                </c:pt>
              </c:numCache>
            </c:numRef>
          </c:xVal>
          <c:yVal>
            <c:numRef>
              <c:f>Data!$J$34:$J$45</c:f>
              <c:numCache>
                <c:formatCode>General</c:formatCode>
                <c:ptCount val="12"/>
                <c:pt idx="0">
                  <c:v>1639</c:v>
                </c:pt>
                <c:pt idx="1">
                  <c:v>1639</c:v>
                </c:pt>
                <c:pt idx="2">
                  <c:v>1639</c:v>
                </c:pt>
                <c:pt idx="3">
                  <c:v>1907</c:v>
                </c:pt>
                <c:pt idx="4">
                  <c:v>1907</c:v>
                </c:pt>
                <c:pt idx="5">
                  <c:v>1907</c:v>
                </c:pt>
                <c:pt idx="6">
                  <c:v>2037</c:v>
                </c:pt>
                <c:pt idx="7">
                  <c:v>2037</c:v>
                </c:pt>
                <c:pt idx="8">
                  <c:v>2037</c:v>
                </c:pt>
                <c:pt idx="9">
                  <c:v>2177</c:v>
                </c:pt>
                <c:pt idx="10">
                  <c:v>2177</c:v>
                </c:pt>
                <c:pt idx="11">
                  <c:v>2177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FF-495D-B9F0-C360F2FD25CD}"/>
            </c:ext>
          </c:extLst>
        </c:ser>
        <c:ser>
          <c:idx val="4"/>
          <c:order val="4"/>
          <c:tx>
            <c:v> Zhang (36)</c:v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Data!$P$48:$P$83</c:f>
              <c:numCache>
                <c:formatCode>General</c:formatCode>
                <c:ptCount val="36"/>
                <c:pt idx="0">
                  <c:v>1695</c:v>
                </c:pt>
                <c:pt idx="1">
                  <c:v>1701</c:v>
                </c:pt>
                <c:pt idx="2">
                  <c:v>1699</c:v>
                </c:pt>
                <c:pt idx="3">
                  <c:v>1165</c:v>
                </c:pt>
                <c:pt idx="4">
                  <c:v>1167</c:v>
                </c:pt>
                <c:pt idx="5">
                  <c:v>1188</c:v>
                </c:pt>
                <c:pt idx="6">
                  <c:v>1220</c:v>
                </c:pt>
                <c:pt idx="7">
                  <c:v>1211</c:v>
                </c:pt>
                <c:pt idx="8">
                  <c:v>1201</c:v>
                </c:pt>
                <c:pt idx="9">
                  <c:v>1493</c:v>
                </c:pt>
                <c:pt idx="10">
                  <c:v>1464</c:v>
                </c:pt>
                <c:pt idx="11">
                  <c:v>1495</c:v>
                </c:pt>
                <c:pt idx="12">
                  <c:v>2001</c:v>
                </c:pt>
                <c:pt idx="13">
                  <c:v>1994</c:v>
                </c:pt>
                <c:pt idx="14">
                  <c:v>2008</c:v>
                </c:pt>
                <c:pt idx="15">
                  <c:v>1347</c:v>
                </c:pt>
                <c:pt idx="16">
                  <c:v>1360</c:v>
                </c:pt>
                <c:pt idx="17">
                  <c:v>1345</c:v>
                </c:pt>
                <c:pt idx="18">
                  <c:v>1405</c:v>
                </c:pt>
                <c:pt idx="19">
                  <c:v>1397</c:v>
                </c:pt>
                <c:pt idx="20">
                  <c:v>1392</c:v>
                </c:pt>
                <c:pt idx="21">
                  <c:v>1697</c:v>
                </c:pt>
                <c:pt idx="22">
                  <c:v>1670</c:v>
                </c:pt>
                <c:pt idx="23">
                  <c:v>1675</c:v>
                </c:pt>
                <c:pt idx="24">
                  <c:v>1497</c:v>
                </c:pt>
                <c:pt idx="25">
                  <c:v>1494</c:v>
                </c:pt>
                <c:pt idx="26">
                  <c:v>1502</c:v>
                </c:pt>
                <c:pt idx="27">
                  <c:v>2358</c:v>
                </c:pt>
                <c:pt idx="28">
                  <c:v>2310</c:v>
                </c:pt>
                <c:pt idx="29">
                  <c:v>2299</c:v>
                </c:pt>
                <c:pt idx="30">
                  <c:v>1740</c:v>
                </c:pt>
                <c:pt idx="31">
                  <c:v>1758</c:v>
                </c:pt>
                <c:pt idx="32">
                  <c:v>1725</c:v>
                </c:pt>
                <c:pt idx="33">
                  <c:v>1907</c:v>
                </c:pt>
                <c:pt idx="34">
                  <c:v>1904</c:v>
                </c:pt>
                <c:pt idx="35">
                  <c:v>1903</c:v>
                </c:pt>
              </c:numCache>
            </c:numRef>
          </c:xVal>
          <c:yVal>
            <c:numRef>
              <c:f>Data!$J$48:$J$83</c:f>
              <c:numCache>
                <c:formatCode>General</c:formatCode>
                <c:ptCount val="36"/>
                <c:pt idx="0">
                  <c:v>1704</c:v>
                </c:pt>
                <c:pt idx="1">
                  <c:v>1668</c:v>
                </c:pt>
                <c:pt idx="2">
                  <c:v>1700</c:v>
                </c:pt>
                <c:pt idx="3">
                  <c:v>1140</c:v>
                </c:pt>
                <c:pt idx="4">
                  <c:v>1220</c:v>
                </c:pt>
                <c:pt idx="5">
                  <c:v>1180</c:v>
                </c:pt>
                <c:pt idx="6">
                  <c:v>1222</c:v>
                </c:pt>
                <c:pt idx="7">
                  <c:v>1242</c:v>
                </c:pt>
                <c:pt idx="8">
                  <c:v>1300</c:v>
                </c:pt>
                <c:pt idx="9">
                  <c:v>1612</c:v>
                </c:pt>
                <c:pt idx="10">
                  <c:v>1580</c:v>
                </c:pt>
                <c:pt idx="11">
                  <c:v>1640</c:v>
                </c:pt>
                <c:pt idx="12">
                  <c:v>2075</c:v>
                </c:pt>
                <c:pt idx="13">
                  <c:v>2105</c:v>
                </c:pt>
                <c:pt idx="14">
                  <c:v>2055</c:v>
                </c:pt>
                <c:pt idx="15">
                  <c:v>1490</c:v>
                </c:pt>
                <c:pt idx="16">
                  <c:v>1520</c:v>
                </c:pt>
                <c:pt idx="17">
                  <c:v>1500</c:v>
                </c:pt>
                <c:pt idx="18">
                  <c:v>1582</c:v>
                </c:pt>
                <c:pt idx="19">
                  <c:v>1582</c:v>
                </c:pt>
                <c:pt idx="20">
                  <c:v>1540</c:v>
                </c:pt>
                <c:pt idx="21">
                  <c:v>1810</c:v>
                </c:pt>
                <c:pt idx="22">
                  <c:v>1770</c:v>
                </c:pt>
                <c:pt idx="23">
                  <c:v>1835</c:v>
                </c:pt>
                <c:pt idx="24">
                  <c:v>1688</c:v>
                </c:pt>
                <c:pt idx="25">
                  <c:v>1680</c:v>
                </c:pt>
                <c:pt idx="26">
                  <c:v>1629</c:v>
                </c:pt>
                <c:pt idx="27">
                  <c:v>2480</c:v>
                </c:pt>
                <c:pt idx="28">
                  <c:v>2440</c:v>
                </c:pt>
                <c:pt idx="29">
                  <c:v>2460</c:v>
                </c:pt>
                <c:pt idx="30">
                  <c:v>1930</c:v>
                </c:pt>
                <c:pt idx="31">
                  <c:v>1955</c:v>
                </c:pt>
                <c:pt idx="32">
                  <c:v>1955</c:v>
                </c:pt>
                <c:pt idx="33">
                  <c:v>1820</c:v>
                </c:pt>
                <c:pt idx="34">
                  <c:v>1915</c:v>
                </c:pt>
                <c:pt idx="35">
                  <c:v>1930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6FF-495D-B9F0-C360F2FD25CD}"/>
            </c:ext>
          </c:extLst>
        </c:ser>
        <c:ser>
          <c:idx val="5"/>
          <c:order val="5"/>
          <c:tx>
            <c:v> Sakino (36)</c:v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Data!$P$86:$P$121</c:f>
              <c:numCache>
                <c:formatCode>General</c:formatCode>
                <c:ptCount val="36"/>
                <c:pt idx="0">
                  <c:v>1031</c:v>
                </c:pt>
                <c:pt idx="1">
                  <c:v>1258</c:v>
                </c:pt>
                <c:pt idx="2">
                  <c:v>1258</c:v>
                </c:pt>
                <c:pt idx="3">
                  <c:v>1814</c:v>
                </c:pt>
                <c:pt idx="4">
                  <c:v>2897</c:v>
                </c:pt>
                <c:pt idx="5">
                  <c:v>3905</c:v>
                </c:pt>
                <c:pt idx="6">
                  <c:v>3905</c:v>
                </c:pt>
                <c:pt idx="7">
                  <c:v>6535</c:v>
                </c:pt>
                <c:pt idx="8">
                  <c:v>5671</c:v>
                </c:pt>
                <c:pt idx="9">
                  <c:v>8031</c:v>
                </c:pt>
                <c:pt idx="10">
                  <c:v>8031</c:v>
                </c:pt>
                <c:pt idx="11">
                  <c:v>14717</c:v>
                </c:pt>
                <c:pt idx="12">
                  <c:v>1586</c:v>
                </c:pt>
                <c:pt idx="13">
                  <c:v>1721</c:v>
                </c:pt>
                <c:pt idx="14">
                  <c:v>1721</c:v>
                </c:pt>
                <c:pt idx="15">
                  <c:v>2050</c:v>
                </c:pt>
                <c:pt idx="16">
                  <c:v>3493</c:v>
                </c:pt>
                <c:pt idx="17">
                  <c:v>4042</c:v>
                </c:pt>
                <c:pt idx="18">
                  <c:v>4042</c:v>
                </c:pt>
                <c:pt idx="19">
                  <c:v>5440</c:v>
                </c:pt>
                <c:pt idx="20">
                  <c:v>6336</c:v>
                </c:pt>
                <c:pt idx="21">
                  <c:v>7755</c:v>
                </c:pt>
                <c:pt idx="22">
                  <c:v>7722</c:v>
                </c:pt>
                <c:pt idx="23">
                  <c:v>11753</c:v>
                </c:pt>
                <c:pt idx="24">
                  <c:v>2413</c:v>
                </c:pt>
                <c:pt idx="25">
                  <c:v>2537</c:v>
                </c:pt>
                <c:pt idx="26">
                  <c:v>2507</c:v>
                </c:pt>
                <c:pt idx="27">
                  <c:v>2736</c:v>
                </c:pt>
                <c:pt idx="28">
                  <c:v>5819</c:v>
                </c:pt>
                <c:pt idx="29">
                  <c:v>6280</c:v>
                </c:pt>
                <c:pt idx="30">
                  <c:v>6280</c:v>
                </c:pt>
                <c:pt idx="31">
                  <c:v>7403</c:v>
                </c:pt>
                <c:pt idx="32">
                  <c:v>9680</c:v>
                </c:pt>
                <c:pt idx="33">
                  <c:v>10846</c:v>
                </c:pt>
                <c:pt idx="34">
                  <c:v>10846</c:v>
                </c:pt>
                <c:pt idx="35">
                  <c:v>14132</c:v>
                </c:pt>
              </c:numCache>
            </c:numRef>
          </c:xVal>
          <c:yVal>
            <c:numRef>
              <c:f>Data!$J$86:$J$121</c:f>
              <c:numCache>
                <c:formatCode>General</c:formatCode>
                <c:ptCount val="36"/>
                <c:pt idx="0">
                  <c:v>941</c:v>
                </c:pt>
                <c:pt idx="1">
                  <c:v>1064</c:v>
                </c:pt>
                <c:pt idx="2">
                  <c:v>1080</c:v>
                </c:pt>
                <c:pt idx="3">
                  <c:v>1781</c:v>
                </c:pt>
                <c:pt idx="4">
                  <c:v>2382</c:v>
                </c:pt>
                <c:pt idx="5">
                  <c:v>3277</c:v>
                </c:pt>
                <c:pt idx="6">
                  <c:v>3152</c:v>
                </c:pt>
                <c:pt idx="7">
                  <c:v>5540</c:v>
                </c:pt>
                <c:pt idx="8">
                  <c:v>4415</c:v>
                </c:pt>
                <c:pt idx="9">
                  <c:v>6870</c:v>
                </c:pt>
                <c:pt idx="10">
                  <c:v>6985</c:v>
                </c:pt>
                <c:pt idx="11">
                  <c:v>11665</c:v>
                </c:pt>
                <c:pt idx="12">
                  <c:v>1509</c:v>
                </c:pt>
                <c:pt idx="13">
                  <c:v>1657</c:v>
                </c:pt>
                <c:pt idx="14">
                  <c:v>1663</c:v>
                </c:pt>
                <c:pt idx="15">
                  <c:v>2100</c:v>
                </c:pt>
                <c:pt idx="16">
                  <c:v>3035</c:v>
                </c:pt>
                <c:pt idx="17">
                  <c:v>3583</c:v>
                </c:pt>
                <c:pt idx="18">
                  <c:v>3647</c:v>
                </c:pt>
                <c:pt idx="19">
                  <c:v>5578</c:v>
                </c:pt>
                <c:pt idx="20">
                  <c:v>5633</c:v>
                </c:pt>
                <c:pt idx="21">
                  <c:v>7260</c:v>
                </c:pt>
                <c:pt idx="22">
                  <c:v>7045</c:v>
                </c:pt>
                <c:pt idx="23">
                  <c:v>11505</c:v>
                </c:pt>
                <c:pt idx="24">
                  <c:v>2275</c:v>
                </c:pt>
                <c:pt idx="25">
                  <c:v>2446</c:v>
                </c:pt>
                <c:pt idx="26">
                  <c:v>2402</c:v>
                </c:pt>
                <c:pt idx="27">
                  <c:v>2713</c:v>
                </c:pt>
                <c:pt idx="28">
                  <c:v>4964</c:v>
                </c:pt>
                <c:pt idx="29">
                  <c:v>5638</c:v>
                </c:pt>
                <c:pt idx="30">
                  <c:v>5714</c:v>
                </c:pt>
                <c:pt idx="31">
                  <c:v>7304</c:v>
                </c:pt>
                <c:pt idx="32">
                  <c:v>8475</c:v>
                </c:pt>
                <c:pt idx="33">
                  <c:v>9668</c:v>
                </c:pt>
                <c:pt idx="34">
                  <c:v>9835</c:v>
                </c:pt>
                <c:pt idx="35">
                  <c:v>13776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6FF-495D-B9F0-C360F2FD25CD}"/>
            </c:ext>
          </c:extLst>
        </c:ser>
        <c:ser>
          <c:idx val="6"/>
          <c:order val="6"/>
          <c:tx>
            <c:v> Zhang (2) comp</c:v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Data!$P$126:$P$127</c:f>
              <c:numCache>
                <c:formatCode>General</c:formatCode>
                <c:ptCount val="2"/>
                <c:pt idx="0">
                  <c:v>1817</c:v>
                </c:pt>
                <c:pt idx="1">
                  <c:v>1602</c:v>
                </c:pt>
              </c:numCache>
            </c:numRef>
          </c:xVal>
          <c:yVal>
            <c:numRef>
              <c:f>Data!$J$126:$J$127</c:f>
              <c:numCache>
                <c:formatCode>General</c:formatCode>
                <c:ptCount val="2"/>
                <c:pt idx="0">
                  <c:v>1890</c:v>
                </c:pt>
                <c:pt idx="1">
                  <c:v>1851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6FF-495D-B9F0-C360F2FD25CD}"/>
            </c:ext>
          </c:extLst>
        </c:ser>
        <c:ser>
          <c:idx val="7"/>
          <c:order val="7"/>
          <c:tx>
            <c:v> Zhang (16) conc. load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Data!$P$128:$P$143</c:f>
              <c:numCache>
                <c:formatCode>General</c:formatCode>
                <c:ptCount val="16"/>
                <c:pt idx="0">
                  <c:v>1825</c:v>
                </c:pt>
                <c:pt idx="1">
                  <c:v>1826</c:v>
                </c:pt>
                <c:pt idx="2">
                  <c:v>1638</c:v>
                </c:pt>
                <c:pt idx="3">
                  <c:v>1613</c:v>
                </c:pt>
                <c:pt idx="4">
                  <c:v>1857</c:v>
                </c:pt>
                <c:pt idx="5">
                  <c:v>1877</c:v>
                </c:pt>
                <c:pt idx="6">
                  <c:v>1938</c:v>
                </c:pt>
                <c:pt idx="7">
                  <c:v>8868.0761586648005</c:v>
                </c:pt>
                <c:pt idx="8">
                  <c:v>2177</c:v>
                </c:pt>
                <c:pt idx="9">
                  <c:v>2167</c:v>
                </c:pt>
                <c:pt idx="10">
                  <c:v>1684</c:v>
                </c:pt>
                <c:pt idx="11">
                  <c:v>1663</c:v>
                </c:pt>
                <c:pt idx="12">
                  <c:v>1670</c:v>
                </c:pt>
                <c:pt idx="13">
                  <c:v>2521</c:v>
                </c:pt>
                <c:pt idx="14">
                  <c:v>2520</c:v>
                </c:pt>
                <c:pt idx="15">
                  <c:v>2523</c:v>
                </c:pt>
              </c:numCache>
            </c:numRef>
          </c:xVal>
          <c:yVal>
            <c:numRef>
              <c:f>Data!$J$128:$J$143</c:f>
              <c:numCache>
                <c:formatCode>General</c:formatCode>
                <c:ptCount val="16"/>
                <c:pt idx="0">
                  <c:v>2004</c:v>
                </c:pt>
                <c:pt idx="1">
                  <c:v>2514</c:v>
                </c:pt>
                <c:pt idx="2">
                  <c:v>1920</c:v>
                </c:pt>
                <c:pt idx="3">
                  <c:v>2330</c:v>
                </c:pt>
                <c:pt idx="4">
                  <c:v>2347</c:v>
                </c:pt>
                <c:pt idx="5">
                  <c:v>2366</c:v>
                </c:pt>
                <c:pt idx="6">
                  <c:v>2324</c:v>
                </c:pt>
                <c:pt idx="7">
                  <c:v>2234</c:v>
                </c:pt>
                <c:pt idx="8">
                  <c:v>2267</c:v>
                </c:pt>
                <c:pt idx="9">
                  <c:v>2275</c:v>
                </c:pt>
                <c:pt idx="10">
                  <c:v>2120</c:v>
                </c:pt>
                <c:pt idx="11">
                  <c:v>2147</c:v>
                </c:pt>
                <c:pt idx="12">
                  <c:v>2185</c:v>
                </c:pt>
                <c:pt idx="13">
                  <c:v>3198</c:v>
                </c:pt>
                <c:pt idx="14">
                  <c:v>3095</c:v>
                </c:pt>
                <c:pt idx="15">
                  <c:v>3031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6FF-495D-B9F0-C360F2FD2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9693375"/>
        <c:axId val="1"/>
      </c:scatterChart>
      <c:valAx>
        <c:axId val="1699693375"/>
        <c:scaling>
          <c:orientation val="minMax"/>
          <c:max val="1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Eurocode 4  kN</a:t>
                </a:r>
              </a:p>
            </c:rich>
          </c:tx>
          <c:layout>
            <c:manualLayout>
              <c:xMode val="edge"/>
              <c:yMode val="edge"/>
              <c:x val="0.46535677352637023"/>
              <c:y val="0.940677966101694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500"/>
        <c:minorUnit val="500"/>
      </c:valAx>
      <c:valAx>
        <c:axId val="1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failure  kN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42372881355932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693375"/>
        <c:crosses val="autoZero"/>
        <c:crossBetween val="midCat"/>
        <c:majorUnit val="2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940020682523266"/>
          <c:y val="0.53050847457627115"/>
          <c:w val="0.93795243019648389"/>
          <c:h val="0.86949152542372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Short Circular CFST Columns   Ratio Test/EC4 v Cylinder strength</a:t>
            </a:r>
          </a:p>
        </c:rich>
      </c:tx>
      <c:layout>
        <c:manualLayout>
          <c:xMode val="edge"/>
          <c:yMode val="edge"/>
          <c:x val="0.23784901758014479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57083764219237E-2"/>
          <c:y val="0.12542372881355932"/>
          <c:w val="0.86142709410548091"/>
          <c:h val="0.76271186440677963"/>
        </c:manualLayout>
      </c:layout>
      <c:scatterChart>
        <c:scatterStyle val="lineMarker"/>
        <c:varyColors val="0"/>
        <c:ser>
          <c:idx val="0"/>
          <c:order val="0"/>
          <c:tx>
            <c:v> Old Data (243)</c:v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'from old a)'!$C$5:$C$247</c:f>
              <c:numCache>
                <c:formatCode>0.0_)</c:formatCode>
                <c:ptCount val="243"/>
                <c:pt idx="0">
                  <c:v>18.2</c:v>
                </c:pt>
                <c:pt idx="1">
                  <c:v>34.700000000000003</c:v>
                </c:pt>
                <c:pt idx="2">
                  <c:v>37.1</c:v>
                </c:pt>
                <c:pt idx="3">
                  <c:v>34.1</c:v>
                </c:pt>
                <c:pt idx="4">
                  <c:v>27</c:v>
                </c:pt>
                <c:pt idx="5">
                  <c:v>33.299999999999997</c:v>
                </c:pt>
                <c:pt idx="6">
                  <c:v>33.299999999999997</c:v>
                </c:pt>
                <c:pt idx="7">
                  <c:v>33.4</c:v>
                </c:pt>
                <c:pt idx="8">
                  <c:v>33.4</c:v>
                </c:pt>
                <c:pt idx="9">
                  <c:v>27.9</c:v>
                </c:pt>
                <c:pt idx="10">
                  <c:v>27.9</c:v>
                </c:pt>
                <c:pt idx="11">
                  <c:v>33.4</c:v>
                </c:pt>
                <c:pt idx="12">
                  <c:v>33.4</c:v>
                </c:pt>
                <c:pt idx="13">
                  <c:v>22.2</c:v>
                </c:pt>
                <c:pt idx="14">
                  <c:v>22.2</c:v>
                </c:pt>
                <c:pt idx="15">
                  <c:v>45.4</c:v>
                </c:pt>
                <c:pt idx="16">
                  <c:v>45.4</c:v>
                </c:pt>
                <c:pt idx="17">
                  <c:v>22.1</c:v>
                </c:pt>
                <c:pt idx="18">
                  <c:v>23.9</c:v>
                </c:pt>
                <c:pt idx="19">
                  <c:v>43.7</c:v>
                </c:pt>
                <c:pt idx="20">
                  <c:v>43.7</c:v>
                </c:pt>
                <c:pt idx="21">
                  <c:v>23.9</c:v>
                </c:pt>
                <c:pt idx="22">
                  <c:v>23.9</c:v>
                </c:pt>
                <c:pt idx="23">
                  <c:v>45.7</c:v>
                </c:pt>
                <c:pt idx="24">
                  <c:v>45.7</c:v>
                </c:pt>
                <c:pt idx="25">
                  <c:v>41.5</c:v>
                </c:pt>
                <c:pt idx="26">
                  <c:v>36</c:v>
                </c:pt>
                <c:pt idx="27">
                  <c:v>35</c:v>
                </c:pt>
                <c:pt idx="28">
                  <c:v>34.5</c:v>
                </c:pt>
                <c:pt idx="29">
                  <c:v>38.4</c:v>
                </c:pt>
                <c:pt idx="30">
                  <c:v>46</c:v>
                </c:pt>
                <c:pt idx="31">
                  <c:v>15</c:v>
                </c:pt>
                <c:pt idx="32">
                  <c:v>45</c:v>
                </c:pt>
                <c:pt idx="33">
                  <c:v>16.899999999999999</c:v>
                </c:pt>
                <c:pt idx="34">
                  <c:v>28.9</c:v>
                </c:pt>
                <c:pt idx="35">
                  <c:v>33.200000000000003</c:v>
                </c:pt>
                <c:pt idx="36">
                  <c:v>33.200000000000003</c:v>
                </c:pt>
                <c:pt idx="37">
                  <c:v>33.200000000000003</c:v>
                </c:pt>
                <c:pt idx="38">
                  <c:v>33.200000000000003</c:v>
                </c:pt>
                <c:pt idx="39">
                  <c:v>33.200000000000003</c:v>
                </c:pt>
                <c:pt idx="40">
                  <c:v>17.399999999999999</c:v>
                </c:pt>
                <c:pt idx="41">
                  <c:v>26.6</c:v>
                </c:pt>
                <c:pt idx="42">
                  <c:v>26.6</c:v>
                </c:pt>
                <c:pt idx="43">
                  <c:v>26.6</c:v>
                </c:pt>
                <c:pt idx="44">
                  <c:v>26.6</c:v>
                </c:pt>
                <c:pt idx="45">
                  <c:v>18</c:v>
                </c:pt>
                <c:pt idx="46">
                  <c:v>37.4</c:v>
                </c:pt>
                <c:pt idx="47">
                  <c:v>18</c:v>
                </c:pt>
                <c:pt idx="48">
                  <c:v>37.4</c:v>
                </c:pt>
                <c:pt idx="49">
                  <c:v>18</c:v>
                </c:pt>
                <c:pt idx="50">
                  <c:v>37.4</c:v>
                </c:pt>
                <c:pt idx="51">
                  <c:v>30.2</c:v>
                </c:pt>
                <c:pt idx="52">
                  <c:v>30.2</c:v>
                </c:pt>
                <c:pt idx="53">
                  <c:v>48</c:v>
                </c:pt>
                <c:pt idx="54">
                  <c:v>48</c:v>
                </c:pt>
                <c:pt idx="55">
                  <c:v>40.9</c:v>
                </c:pt>
                <c:pt idx="56">
                  <c:v>57</c:v>
                </c:pt>
                <c:pt idx="57">
                  <c:v>57</c:v>
                </c:pt>
                <c:pt idx="58">
                  <c:v>57</c:v>
                </c:pt>
                <c:pt idx="59">
                  <c:v>57</c:v>
                </c:pt>
                <c:pt idx="60">
                  <c:v>57</c:v>
                </c:pt>
                <c:pt idx="61">
                  <c:v>57</c:v>
                </c:pt>
                <c:pt idx="62">
                  <c:v>57</c:v>
                </c:pt>
                <c:pt idx="63">
                  <c:v>57</c:v>
                </c:pt>
                <c:pt idx="64">
                  <c:v>57</c:v>
                </c:pt>
                <c:pt idx="65">
                  <c:v>48.3</c:v>
                </c:pt>
                <c:pt idx="66">
                  <c:v>41</c:v>
                </c:pt>
                <c:pt idx="67">
                  <c:v>48.3</c:v>
                </c:pt>
                <c:pt idx="68">
                  <c:v>41</c:v>
                </c:pt>
                <c:pt idx="69" formatCode="General">
                  <c:v>41</c:v>
                </c:pt>
                <c:pt idx="70" formatCode="General">
                  <c:v>80.2</c:v>
                </c:pt>
                <c:pt idx="71" formatCode="General">
                  <c:v>74.7</c:v>
                </c:pt>
                <c:pt idx="72" formatCode="General">
                  <c:v>80.2</c:v>
                </c:pt>
                <c:pt idx="73" formatCode="General">
                  <c:v>80.2</c:v>
                </c:pt>
                <c:pt idx="74" formatCode="General">
                  <c:v>74.7</c:v>
                </c:pt>
                <c:pt idx="75" formatCode="General">
                  <c:v>108</c:v>
                </c:pt>
                <c:pt idx="76" formatCode="General">
                  <c:v>108</c:v>
                </c:pt>
                <c:pt idx="77" formatCode="General">
                  <c:v>108</c:v>
                </c:pt>
                <c:pt idx="78" formatCode="General">
                  <c:v>108</c:v>
                </c:pt>
                <c:pt idx="79" formatCode="General">
                  <c:v>108</c:v>
                </c:pt>
                <c:pt idx="80">
                  <c:v>60.75</c:v>
                </c:pt>
                <c:pt idx="81">
                  <c:v>60.75</c:v>
                </c:pt>
                <c:pt idx="82">
                  <c:v>60.75</c:v>
                </c:pt>
                <c:pt idx="83">
                  <c:v>60.75</c:v>
                </c:pt>
                <c:pt idx="84">
                  <c:v>60.75</c:v>
                </c:pt>
                <c:pt idx="85">
                  <c:v>60.75</c:v>
                </c:pt>
                <c:pt idx="86">
                  <c:v>60.75</c:v>
                </c:pt>
                <c:pt idx="87">
                  <c:v>60.75</c:v>
                </c:pt>
                <c:pt idx="88">
                  <c:v>60.75</c:v>
                </c:pt>
                <c:pt idx="89">
                  <c:v>21.9</c:v>
                </c:pt>
                <c:pt idx="90">
                  <c:v>21.9</c:v>
                </c:pt>
                <c:pt idx="91">
                  <c:v>21.9</c:v>
                </c:pt>
                <c:pt idx="92" formatCode="General">
                  <c:v>18.399999999999999</c:v>
                </c:pt>
                <c:pt idx="93" formatCode="General">
                  <c:v>18.399999999999999</c:v>
                </c:pt>
                <c:pt idx="94" formatCode="General">
                  <c:v>18.399999999999999</c:v>
                </c:pt>
                <c:pt idx="95" formatCode="General">
                  <c:v>18.399999999999999</c:v>
                </c:pt>
                <c:pt idx="96" formatCode="General">
                  <c:v>18.399999999999999</c:v>
                </c:pt>
                <c:pt idx="97" formatCode="General">
                  <c:v>18.399999999999999</c:v>
                </c:pt>
                <c:pt idx="98" formatCode="General">
                  <c:v>18.399999999999999</c:v>
                </c:pt>
                <c:pt idx="99" formatCode="General">
                  <c:v>18.399999999999999</c:v>
                </c:pt>
                <c:pt idx="100" formatCode="General">
                  <c:v>23</c:v>
                </c:pt>
                <c:pt idx="101" formatCode="General">
                  <c:v>21.9</c:v>
                </c:pt>
                <c:pt idx="102" formatCode="General">
                  <c:v>21.9</c:v>
                </c:pt>
                <c:pt idx="103" formatCode="General">
                  <c:v>21.9</c:v>
                </c:pt>
                <c:pt idx="104" formatCode="General">
                  <c:v>21.9</c:v>
                </c:pt>
                <c:pt idx="105" formatCode="General">
                  <c:v>21.9</c:v>
                </c:pt>
                <c:pt idx="106" formatCode="General">
                  <c:v>21.9</c:v>
                </c:pt>
                <c:pt idx="107" formatCode="General">
                  <c:v>42.7</c:v>
                </c:pt>
                <c:pt idx="108" formatCode="General">
                  <c:v>42.7</c:v>
                </c:pt>
                <c:pt idx="109" formatCode="General">
                  <c:v>42.7</c:v>
                </c:pt>
                <c:pt idx="110" formatCode="General">
                  <c:v>42.7</c:v>
                </c:pt>
                <c:pt idx="111" formatCode="General">
                  <c:v>42.7</c:v>
                </c:pt>
                <c:pt idx="112" formatCode="General">
                  <c:v>42.7</c:v>
                </c:pt>
                <c:pt idx="113" formatCode="General">
                  <c:v>42.7</c:v>
                </c:pt>
                <c:pt idx="114" formatCode="General">
                  <c:v>42.7</c:v>
                </c:pt>
                <c:pt idx="115" formatCode="General">
                  <c:v>42.7</c:v>
                </c:pt>
                <c:pt idx="116" formatCode="General">
                  <c:v>42.7</c:v>
                </c:pt>
                <c:pt idx="117" formatCode="General">
                  <c:v>42.7</c:v>
                </c:pt>
                <c:pt idx="118" formatCode="General">
                  <c:v>42.7</c:v>
                </c:pt>
                <c:pt idx="119" formatCode="General">
                  <c:v>42.7</c:v>
                </c:pt>
                <c:pt idx="120" formatCode="General">
                  <c:v>18.7</c:v>
                </c:pt>
                <c:pt idx="121" formatCode="General">
                  <c:v>18.7</c:v>
                </c:pt>
                <c:pt idx="122" formatCode="General">
                  <c:v>18.7</c:v>
                </c:pt>
                <c:pt idx="123" formatCode="General">
                  <c:v>29.62</c:v>
                </c:pt>
                <c:pt idx="124" formatCode="General">
                  <c:v>40.28</c:v>
                </c:pt>
                <c:pt idx="125" formatCode="General">
                  <c:v>40.28</c:v>
                </c:pt>
                <c:pt idx="126" formatCode="General">
                  <c:v>28.45</c:v>
                </c:pt>
                <c:pt idx="127" formatCode="General">
                  <c:v>39.53</c:v>
                </c:pt>
                <c:pt idx="128" formatCode="General">
                  <c:v>40.28</c:v>
                </c:pt>
                <c:pt idx="129" formatCode="General">
                  <c:v>28.45</c:v>
                </c:pt>
                <c:pt idx="130" formatCode="General">
                  <c:v>28.45</c:v>
                </c:pt>
                <c:pt idx="131" formatCode="General">
                  <c:v>39.53</c:v>
                </c:pt>
                <c:pt idx="132" formatCode="General">
                  <c:v>39.53</c:v>
                </c:pt>
                <c:pt idx="133" formatCode="General">
                  <c:v>39.53</c:v>
                </c:pt>
                <c:pt idx="134" formatCode="General">
                  <c:v>39.53</c:v>
                </c:pt>
                <c:pt idx="135" formatCode="General">
                  <c:v>26.56</c:v>
                </c:pt>
                <c:pt idx="136" formatCode="General">
                  <c:v>26.56</c:v>
                </c:pt>
                <c:pt idx="137" formatCode="General">
                  <c:v>29.62</c:v>
                </c:pt>
                <c:pt idx="138" formatCode="General">
                  <c:v>29.62</c:v>
                </c:pt>
                <c:pt idx="139" formatCode="General">
                  <c:v>29.62</c:v>
                </c:pt>
                <c:pt idx="140" formatCode="General">
                  <c:v>29.62</c:v>
                </c:pt>
                <c:pt idx="141" formatCode="General">
                  <c:v>29.62</c:v>
                </c:pt>
                <c:pt idx="142" formatCode="General">
                  <c:v>29.62</c:v>
                </c:pt>
                <c:pt idx="143" formatCode="General">
                  <c:v>28.45</c:v>
                </c:pt>
                <c:pt idx="144" formatCode="General">
                  <c:v>40.28</c:v>
                </c:pt>
                <c:pt idx="145" formatCode="General">
                  <c:v>29.62</c:v>
                </c:pt>
                <c:pt idx="146" formatCode="General">
                  <c:v>29.62</c:v>
                </c:pt>
                <c:pt idx="147" formatCode="General">
                  <c:v>29.62</c:v>
                </c:pt>
                <c:pt idx="148" formatCode="General">
                  <c:v>29.62</c:v>
                </c:pt>
                <c:pt idx="149" formatCode="General">
                  <c:v>29.62</c:v>
                </c:pt>
                <c:pt idx="150" formatCode="General">
                  <c:v>46.57</c:v>
                </c:pt>
                <c:pt idx="151" formatCode="General">
                  <c:v>46.57</c:v>
                </c:pt>
                <c:pt idx="152" formatCode="General">
                  <c:v>46.57</c:v>
                </c:pt>
                <c:pt idx="153" formatCode="General">
                  <c:v>46.57</c:v>
                </c:pt>
                <c:pt idx="154" formatCode="General">
                  <c:v>28.99</c:v>
                </c:pt>
                <c:pt idx="155" formatCode="General">
                  <c:v>28.99</c:v>
                </c:pt>
                <c:pt idx="156" formatCode="General">
                  <c:v>28.99</c:v>
                </c:pt>
                <c:pt idx="157" formatCode="General">
                  <c:v>106.02</c:v>
                </c:pt>
                <c:pt idx="158" formatCode="General">
                  <c:v>106.02</c:v>
                </c:pt>
                <c:pt idx="159" formatCode="General">
                  <c:v>106.02</c:v>
                </c:pt>
                <c:pt idx="160" formatCode="General">
                  <c:v>106.02</c:v>
                </c:pt>
                <c:pt idx="161" formatCode="General">
                  <c:v>106.02</c:v>
                </c:pt>
                <c:pt idx="162" formatCode="General">
                  <c:v>106.02</c:v>
                </c:pt>
                <c:pt idx="163" formatCode="General">
                  <c:v>106.02</c:v>
                </c:pt>
                <c:pt idx="164" formatCode="General">
                  <c:v>106.02</c:v>
                </c:pt>
                <c:pt idx="165" formatCode="General">
                  <c:v>106.02</c:v>
                </c:pt>
                <c:pt idx="166" formatCode="General">
                  <c:v>106.02</c:v>
                </c:pt>
                <c:pt idx="167" formatCode="General">
                  <c:v>106.02</c:v>
                </c:pt>
                <c:pt idx="168" formatCode="General">
                  <c:v>106.02</c:v>
                </c:pt>
                <c:pt idx="169" formatCode="General">
                  <c:v>106.02</c:v>
                </c:pt>
                <c:pt idx="170" formatCode="General">
                  <c:v>45.77</c:v>
                </c:pt>
                <c:pt idx="171" formatCode="General">
                  <c:v>35.17</c:v>
                </c:pt>
                <c:pt idx="172" formatCode="General">
                  <c:v>26.56</c:v>
                </c:pt>
                <c:pt idx="173" formatCode="General">
                  <c:v>34.85</c:v>
                </c:pt>
                <c:pt idx="174" formatCode="General">
                  <c:v>34.85</c:v>
                </c:pt>
                <c:pt idx="175" formatCode="General">
                  <c:v>34.85</c:v>
                </c:pt>
                <c:pt idx="176" formatCode="General">
                  <c:v>23.37</c:v>
                </c:pt>
                <c:pt idx="177" formatCode="General">
                  <c:v>41.17</c:v>
                </c:pt>
                <c:pt idx="178" formatCode="General">
                  <c:v>48.35</c:v>
                </c:pt>
                <c:pt idx="179" formatCode="General">
                  <c:v>27.82</c:v>
                </c:pt>
                <c:pt idx="180" formatCode="General">
                  <c:v>36.19</c:v>
                </c:pt>
                <c:pt idx="181" formatCode="General">
                  <c:v>36.19</c:v>
                </c:pt>
                <c:pt idx="182" formatCode="General">
                  <c:v>36.19</c:v>
                </c:pt>
                <c:pt idx="183" formatCode="General">
                  <c:v>43.21</c:v>
                </c:pt>
                <c:pt idx="184" formatCode="General">
                  <c:v>32.68</c:v>
                </c:pt>
                <c:pt idx="185" formatCode="General">
                  <c:v>21.54</c:v>
                </c:pt>
                <c:pt idx="186" formatCode="General">
                  <c:v>24.37</c:v>
                </c:pt>
                <c:pt idx="187" formatCode="General">
                  <c:v>9.9</c:v>
                </c:pt>
                <c:pt idx="188" formatCode="General">
                  <c:v>28.72</c:v>
                </c:pt>
                <c:pt idx="189" formatCode="General">
                  <c:v>24.12</c:v>
                </c:pt>
                <c:pt idx="190" formatCode="General">
                  <c:v>20.71</c:v>
                </c:pt>
                <c:pt idx="191" formatCode="General">
                  <c:v>20.22</c:v>
                </c:pt>
                <c:pt idx="192" formatCode="General">
                  <c:v>39.229999999999997</c:v>
                </c:pt>
                <c:pt idx="193" formatCode="General">
                  <c:v>20.54</c:v>
                </c:pt>
                <c:pt idx="194" formatCode="General">
                  <c:v>26.56</c:v>
                </c:pt>
                <c:pt idx="195" formatCode="General">
                  <c:v>36.14</c:v>
                </c:pt>
                <c:pt idx="196" formatCode="General">
                  <c:v>23.2</c:v>
                </c:pt>
                <c:pt idx="197" formatCode="General">
                  <c:v>23.2</c:v>
                </c:pt>
                <c:pt idx="198" formatCode="General">
                  <c:v>23.2</c:v>
                </c:pt>
                <c:pt idx="199" formatCode="General">
                  <c:v>24.3</c:v>
                </c:pt>
                <c:pt idx="200" formatCode="General">
                  <c:v>24.2</c:v>
                </c:pt>
                <c:pt idx="201" formatCode="General">
                  <c:v>40.200000000000003</c:v>
                </c:pt>
                <c:pt idx="202" formatCode="General">
                  <c:v>40.200000000000003</c:v>
                </c:pt>
                <c:pt idx="203" formatCode="General">
                  <c:v>38.200000000000003</c:v>
                </c:pt>
                <c:pt idx="204" formatCode="General">
                  <c:v>39.200000000000003</c:v>
                </c:pt>
                <c:pt idx="205" formatCode="General">
                  <c:v>51.3</c:v>
                </c:pt>
                <c:pt idx="206" formatCode="General">
                  <c:v>51.3</c:v>
                </c:pt>
                <c:pt idx="207" formatCode="General">
                  <c:v>46.7</c:v>
                </c:pt>
                <c:pt idx="208" formatCode="General">
                  <c:v>52.2</c:v>
                </c:pt>
                <c:pt idx="209" formatCode="General">
                  <c:v>23.2</c:v>
                </c:pt>
                <c:pt idx="210" formatCode="General">
                  <c:v>23.2</c:v>
                </c:pt>
                <c:pt idx="211" formatCode="General">
                  <c:v>23.2</c:v>
                </c:pt>
                <c:pt idx="212" formatCode="General">
                  <c:v>24.3</c:v>
                </c:pt>
                <c:pt idx="213" formatCode="General">
                  <c:v>24.2</c:v>
                </c:pt>
                <c:pt idx="214" formatCode="General">
                  <c:v>40.200000000000003</c:v>
                </c:pt>
                <c:pt idx="215" formatCode="General">
                  <c:v>40.200000000000003</c:v>
                </c:pt>
                <c:pt idx="216" formatCode="General">
                  <c:v>38.200000000000003</c:v>
                </c:pt>
                <c:pt idx="217" formatCode="General">
                  <c:v>39.200000000000003</c:v>
                </c:pt>
                <c:pt idx="218" formatCode="General">
                  <c:v>51.3</c:v>
                </c:pt>
                <c:pt idx="219" formatCode="General">
                  <c:v>51.3</c:v>
                </c:pt>
                <c:pt idx="220" formatCode="General">
                  <c:v>46.8</c:v>
                </c:pt>
                <c:pt idx="221" formatCode="General">
                  <c:v>52.2</c:v>
                </c:pt>
                <c:pt idx="222" formatCode="General">
                  <c:v>46.8</c:v>
                </c:pt>
                <c:pt idx="223" formatCode="General">
                  <c:v>46.8</c:v>
                </c:pt>
                <c:pt idx="224" formatCode="General">
                  <c:v>46.8</c:v>
                </c:pt>
                <c:pt idx="225" formatCode="General">
                  <c:v>46.8</c:v>
                </c:pt>
                <c:pt idx="226" formatCode="General">
                  <c:v>46.8</c:v>
                </c:pt>
                <c:pt idx="227" formatCode="General">
                  <c:v>46.8</c:v>
                </c:pt>
                <c:pt idx="228" formatCode="General">
                  <c:v>46.8</c:v>
                </c:pt>
                <c:pt idx="229" formatCode="General">
                  <c:v>46.8</c:v>
                </c:pt>
                <c:pt idx="230" formatCode="General">
                  <c:v>46.8</c:v>
                </c:pt>
                <c:pt idx="231" formatCode="General">
                  <c:v>46.8</c:v>
                </c:pt>
                <c:pt idx="232" formatCode="General">
                  <c:v>46.8</c:v>
                </c:pt>
                <c:pt idx="233" formatCode="General">
                  <c:v>46.8</c:v>
                </c:pt>
                <c:pt idx="234" formatCode="General">
                  <c:v>28.6</c:v>
                </c:pt>
                <c:pt idx="235" formatCode="General">
                  <c:v>28.6</c:v>
                </c:pt>
                <c:pt idx="236" formatCode="General">
                  <c:v>28.6</c:v>
                </c:pt>
                <c:pt idx="237" formatCode="General">
                  <c:v>28.6</c:v>
                </c:pt>
                <c:pt idx="238" formatCode="General">
                  <c:v>28.6</c:v>
                </c:pt>
                <c:pt idx="239" formatCode="General">
                  <c:v>28.6</c:v>
                </c:pt>
                <c:pt idx="240" formatCode="General">
                  <c:v>28.6</c:v>
                </c:pt>
                <c:pt idx="241" formatCode="General">
                  <c:v>28.6</c:v>
                </c:pt>
                <c:pt idx="242" formatCode="General">
                  <c:v>30.7</c:v>
                </c:pt>
              </c:numCache>
            </c:numRef>
          </c:xVal>
          <c:yVal>
            <c:numRef>
              <c:f>'from old a)'!$E$5:$E$247</c:f>
              <c:numCache>
                <c:formatCode>0.00</c:formatCode>
                <c:ptCount val="243"/>
                <c:pt idx="0">
                  <c:v>1.2323420074349443</c:v>
                </c:pt>
                <c:pt idx="1">
                  <c:v>0.86638237384506045</c:v>
                </c:pt>
                <c:pt idx="2">
                  <c:v>0.85211726384364817</c:v>
                </c:pt>
                <c:pt idx="3">
                  <c:v>0.90230664857530529</c:v>
                </c:pt>
                <c:pt idx="4">
                  <c:v>1.0895731280615815</c:v>
                </c:pt>
                <c:pt idx="5">
                  <c:v>0.92327530625402965</c:v>
                </c:pt>
                <c:pt idx="6">
                  <c:v>0.94326241134751776</c:v>
                </c:pt>
                <c:pt idx="7">
                  <c:v>1.3097934710193204</c:v>
                </c:pt>
                <c:pt idx="8">
                  <c:v>1.3124583610926048</c:v>
                </c:pt>
                <c:pt idx="9">
                  <c:v>1.4201861130994988</c:v>
                </c:pt>
                <c:pt idx="10">
                  <c:v>1.4201861130994988</c:v>
                </c:pt>
                <c:pt idx="11">
                  <c:v>0.99794026776519051</c:v>
                </c:pt>
                <c:pt idx="12">
                  <c:v>0.96567299006323393</c:v>
                </c:pt>
                <c:pt idx="13">
                  <c:v>0.83398898505114083</c:v>
                </c:pt>
                <c:pt idx="14">
                  <c:v>0.81038552321007085</c:v>
                </c:pt>
                <c:pt idx="15">
                  <c:v>0.91367148135707088</c:v>
                </c:pt>
                <c:pt idx="16">
                  <c:v>0.91703056768558955</c:v>
                </c:pt>
                <c:pt idx="17">
                  <c:v>0.83333333333333337</c:v>
                </c:pt>
                <c:pt idx="18">
                  <c:v>0.90225563909774431</c:v>
                </c:pt>
                <c:pt idx="19">
                  <c:v>0.96969696969696972</c:v>
                </c:pt>
                <c:pt idx="20">
                  <c:v>0.965034965034965</c:v>
                </c:pt>
                <c:pt idx="21">
                  <c:v>0.99591836734693873</c:v>
                </c:pt>
                <c:pt idx="22">
                  <c:v>0.99591836734693873</c:v>
                </c:pt>
                <c:pt idx="23">
                  <c:v>0.97156398104265407</c:v>
                </c:pt>
                <c:pt idx="24">
                  <c:v>1.0130331753554502</c:v>
                </c:pt>
                <c:pt idx="25">
                  <c:v>1.0878048780487806</c:v>
                </c:pt>
                <c:pt idx="26">
                  <c:v>1.0052526716174606</c:v>
                </c:pt>
                <c:pt idx="27">
                  <c:v>1.0026179468612488</c:v>
                </c:pt>
                <c:pt idx="28">
                  <c:v>1.0008071025020178</c:v>
                </c:pt>
                <c:pt idx="29">
                  <c:v>0.99829559289018743</c:v>
                </c:pt>
                <c:pt idx="30">
                  <c:v>0.99681346515238178</c:v>
                </c:pt>
                <c:pt idx="31">
                  <c:v>1.0184682237914178</c:v>
                </c:pt>
                <c:pt idx="32">
                  <c:v>1.0032246506628448</c:v>
                </c:pt>
                <c:pt idx="33">
                  <c:v>1.0351966873706004</c:v>
                </c:pt>
                <c:pt idx="34">
                  <c:v>1.019865200425683</c:v>
                </c:pt>
                <c:pt idx="35">
                  <c:v>1.1549789621318374</c:v>
                </c:pt>
                <c:pt idx="36">
                  <c:v>1.2067757009345794</c:v>
                </c:pt>
                <c:pt idx="37">
                  <c:v>1.192079207920792</c:v>
                </c:pt>
                <c:pt idx="38">
                  <c:v>1.2796934865900382</c:v>
                </c:pt>
                <c:pt idx="39">
                  <c:v>1.1567796610169492</c:v>
                </c:pt>
                <c:pt idx="40">
                  <c:v>0.8976510067114094</c:v>
                </c:pt>
                <c:pt idx="41">
                  <c:v>0.81654676258992809</c:v>
                </c:pt>
                <c:pt idx="42">
                  <c:v>0.76155462184873945</c:v>
                </c:pt>
                <c:pt idx="43">
                  <c:v>0.79707495429616093</c:v>
                </c:pt>
                <c:pt idx="44">
                  <c:v>0.81655844155844159</c:v>
                </c:pt>
                <c:pt idx="45">
                  <c:v>1.0466666666666666</c:v>
                </c:pt>
                <c:pt idx="46">
                  <c:v>0.9028727770177839</c:v>
                </c:pt>
                <c:pt idx="47">
                  <c:v>1.0335861321776816</c:v>
                </c:pt>
                <c:pt idx="48">
                  <c:v>0.93455245428296441</c:v>
                </c:pt>
                <c:pt idx="49">
                  <c:v>1.1658536585365853</c:v>
                </c:pt>
                <c:pt idx="50">
                  <c:v>1.1282051282051282</c:v>
                </c:pt>
                <c:pt idx="51">
                  <c:v>1.0404040404040404</c:v>
                </c:pt>
                <c:pt idx="52">
                  <c:v>0.9571150097465887</c:v>
                </c:pt>
                <c:pt idx="53">
                  <c:v>1.0041067761806981</c:v>
                </c:pt>
                <c:pt idx="54">
                  <c:v>1.0066555740432612</c:v>
                </c:pt>
                <c:pt idx="55">
                  <c:v>0.89199776161163957</c:v>
                </c:pt>
                <c:pt idx="56">
                  <c:v>0.9494949494949495</c:v>
                </c:pt>
                <c:pt idx="57">
                  <c:v>0.96969696969696972</c:v>
                </c:pt>
                <c:pt idx="58">
                  <c:v>0.84848484848484851</c:v>
                </c:pt>
                <c:pt idx="59">
                  <c:v>0.93939393939393945</c:v>
                </c:pt>
                <c:pt idx="60">
                  <c:v>0.96129837702871412</c:v>
                </c:pt>
                <c:pt idx="61">
                  <c:v>0.96754057428214735</c:v>
                </c:pt>
                <c:pt idx="62">
                  <c:v>0.92384519350811489</c:v>
                </c:pt>
                <c:pt idx="63">
                  <c:v>0.86142322097378277</c:v>
                </c:pt>
                <c:pt idx="64">
                  <c:v>0.96754057428214735</c:v>
                </c:pt>
                <c:pt idx="65">
                  <c:v>0.99497005988023945</c:v>
                </c:pt>
                <c:pt idx="66">
                  <c:v>1.1019041365725541</c:v>
                </c:pt>
                <c:pt idx="67">
                  <c:v>0.9987035945786682</c:v>
                </c:pt>
                <c:pt idx="68">
                  <c:v>1.0540581929555894</c:v>
                </c:pt>
                <c:pt idx="69">
                  <c:v>1.0472459270752521</c:v>
                </c:pt>
                <c:pt idx="70">
                  <c:v>1.0101232394366197</c:v>
                </c:pt>
                <c:pt idx="71">
                  <c:v>1.0741815167840862</c:v>
                </c:pt>
                <c:pt idx="72">
                  <c:v>1.0199921599372794</c:v>
                </c:pt>
                <c:pt idx="73">
                  <c:v>0.96509671993271662</c:v>
                </c:pt>
                <c:pt idx="74">
                  <c:v>1.1060469314079422</c:v>
                </c:pt>
                <c:pt idx="75">
                  <c:v>0.95294117647058818</c:v>
                </c:pt>
                <c:pt idx="76">
                  <c:v>1.0178733717055437</c:v>
                </c:pt>
                <c:pt idx="77">
                  <c:v>0.98757952135716454</c:v>
                </c:pt>
                <c:pt idx="78">
                  <c:v>0.97357529449219993</c:v>
                </c:pt>
                <c:pt idx="79">
                  <c:v>0.97895408163265307</c:v>
                </c:pt>
                <c:pt idx="80">
                  <c:v>0.96283783783783783</c:v>
                </c:pt>
                <c:pt idx="81">
                  <c:v>1.040909090909091</c:v>
                </c:pt>
                <c:pt idx="82">
                  <c:v>0.90953545232273836</c:v>
                </c:pt>
                <c:pt idx="83">
                  <c:v>0.92223095051060489</c:v>
                </c:pt>
                <c:pt idx="84">
                  <c:v>1.0620220900594732</c:v>
                </c:pt>
                <c:pt idx="85">
                  <c:v>0.98208573256557896</c:v>
                </c:pt>
                <c:pt idx="86">
                  <c:v>0.82508924018357976</c:v>
                </c:pt>
                <c:pt idx="87">
                  <c:v>1.0306930693069307</c:v>
                </c:pt>
                <c:pt idx="88">
                  <c:v>0.9265650080256822</c:v>
                </c:pt>
                <c:pt idx="89">
                  <c:v>1.0393258426966292</c:v>
                </c:pt>
                <c:pt idx="90">
                  <c:v>1.3324175824175823</c:v>
                </c:pt>
                <c:pt idx="91">
                  <c:v>0.92975206611570249</c:v>
                </c:pt>
                <c:pt idx="92">
                  <c:v>1.2863961813842482</c:v>
                </c:pt>
                <c:pt idx="93">
                  <c:v>1.0721247563352827</c:v>
                </c:pt>
                <c:pt idx="94">
                  <c:v>0.97720797720797725</c:v>
                </c:pt>
                <c:pt idx="95">
                  <c:v>1.0932330827067669</c:v>
                </c:pt>
                <c:pt idx="96">
                  <c:v>1.1037593984962406</c:v>
                </c:pt>
                <c:pt idx="97">
                  <c:v>1.2075187969924812</c:v>
                </c:pt>
                <c:pt idx="98">
                  <c:v>1.2386363636363635</c:v>
                </c:pt>
                <c:pt idx="99">
                  <c:v>1.2978936810431294</c:v>
                </c:pt>
                <c:pt idx="100">
                  <c:v>1.201478743068392</c:v>
                </c:pt>
                <c:pt idx="101">
                  <c:v>0.92060712200817285</c:v>
                </c:pt>
                <c:pt idx="102">
                  <c:v>1.0079500283929586</c:v>
                </c:pt>
                <c:pt idx="103">
                  <c:v>1.0374331550802138</c:v>
                </c:pt>
                <c:pt idx="104">
                  <c:v>1.2215017064846416</c:v>
                </c:pt>
                <c:pt idx="105">
                  <c:v>1.2588039867109635</c:v>
                </c:pt>
                <c:pt idx="106">
                  <c:v>1.154401650618982</c:v>
                </c:pt>
                <c:pt idx="107">
                  <c:v>1.1634349030470914</c:v>
                </c:pt>
                <c:pt idx="108">
                  <c:v>1.1947643979057592</c:v>
                </c:pt>
                <c:pt idx="109">
                  <c:v>1.1436058700209644</c:v>
                </c:pt>
                <c:pt idx="110">
                  <c:v>1.1926701570680629</c:v>
                </c:pt>
                <c:pt idx="111">
                  <c:v>0.95944700460829491</c:v>
                </c:pt>
                <c:pt idx="112">
                  <c:v>1.0239852398523985</c:v>
                </c:pt>
                <c:pt idx="113">
                  <c:v>0.95282146160962067</c:v>
                </c:pt>
                <c:pt idx="114">
                  <c:v>0.99116607773851595</c:v>
                </c:pt>
                <c:pt idx="115">
                  <c:v>1.0843585237258349</c:v>
                </c:pt>
                <c:pt idx="116">
                  <c:v>0.96666666666666667</c:v>
                </c:pt>
                <c:pt idx="117">
                  <c:v>1.0070671378091873</c:v>
                </c:pt>
                <c:pt idx="118">
                  <c:v>1.2863070539419088</c:v>
                </c:pt>
                <c:pt idx="119">
                  <c:v>1.0518626734842951</c:v>
                </c:pt>
                <c:pt idx="120">
                  <c:v>1.3507722007722009</c:v>
                </c:pt>
                <c:pt idx="121">
                  <c:v>1.1598862019914651</c:v>
                </c:pt>
                <c:pt idx="122">
                  <c:v>1.1189889025893958</c:v>
                </c:pt>
                <c:pt idx="123">
                  <c:v>1.2868682206323563</c:v>
                </c:pt>
                <c:pt idx="124">
                  <c:v>1.0729188184259451</c:v>
                </c:pt>
                <c:pt idx="125">
                  <c:v>1.0931625697170007</c:v>
                </c:pt>
                <c:pt idx="126">
                  <c:v>0.98778625954198473</c:v>
                </c:pt>
                <c:pt idx="127">
                  <c:v>0.9951367781155015</c:v>
                </c:pt>
                <c:pt idx="128">
                  <c:v>1.0143971205758848</c:v>
                </c:pt>
                <c:pt idx="129">
                  <c:v>1.1743532058492689</c:v>
                </c:pt>
                <c:pt idx="130">
                  <c:v>1.311586051743532</c:v>
                </c:pt>
                <c:pt idx="131">
                  <c:v>1.2073921971252566</c:v>
                </c:pt>
                <c:pt idx="132">
                  <c:v>1.2022587268993841</c:v>
                </c:pt>
                <c:pt idx="133">
                  <c:v>1.1016427104722792</c:v>
                </c:pt>
                <c:pt idx="134">
                  <c:v>1.1555097837281154</c:v>
                </c:pt>
                <c:pt idx="135">
                  <c:v>1.1823728813559322</c:v>
                </c:pt>
                <c:pt idx="136">
                  <c:v>1.1491525423728814</c:v>
                </c:pt>
                <c:pt idx="137">
                  <c:v>1.2185863874345551</c:v>
                </c:pt>
                <c:pt idx="138">
                  <c:v>1.2251308900523561</c:v>
                </c:pt>
                <c:pt idx="139">
                  <c:v>1.1092931937172774</c:v>
                </c:pt>
                <c:pt idx="140">
                  <c:v>1.1354712041884816</c:v>
                </c:pt>
                <c:pt idx="141">
                  <c:v>1.3278795811518325</c:v>
                </c:pt>
                <c:pt idx="142">
                  <c:v>1.3789267015706805</c:v>
                </c:pt>
                <c:pt idx="143">
                  <c:v>1.4100174723354688</c:v>
                </c:pt>
                <c:pt idx="144">
                  <c:v>1.4396215915414581</c:v>
                </c:pt>
                <c:pt idx="145">
                  <c:v>1.0689035350509286</c:v>
                </c:pt>
                <c:pt idx="146">
                  <c:v>1.2210904733373278</c:v>
                </c:pt>
                <c:pt idx="147">
                  <c:v>1.2517219787100815</c:v>
                </c:pt>
                <c:pt idx="148">
                  <c:v>1.2792736380713838</c:v>
                </c:pt>
                <c:pt idx="149">
                  <c:v>1.2925392670157068</c:v>
                </c:pt>
                <c:pt idx="150">
                  <c:v>1.2235457920792079</c:v>
                </c:pt>
                <c:pt idx="151">
                  <c:v>0.93339661445973743</c:v>
                </c:pt>
                <c:pt idx="152">
                  <c:v>0.9408945686900958</c:v>
                </c:pt>
                <c:pt idx="153">
                  <c:v>1.0191693290734825</c:v>
                </c:pt>
                <c:pt idx="154">
                  <c:v>1.2826636050516649</c:v>
                </c:pt>
                <c:pt idx="155">
                  <c:v>1.2151549942594719</c:v>
                </c:pt>
                <c:pt idx="156">
                  <c:v>1.2320321469575199</c:v>
                </c:pt>
                <c:pt idx="157">
                  <c:v>0.92794759825327511</c:v>
                </c:pt>
                <c:pt idx="158">
                  <c:v>0.90174672489082974</c:v>
                </c:pt>
                <c:pt idx="159">
                  <c:v>0.98027613412228798</c:v>
                </c:pt>
                <c:pt idx="160">
                  <c:v>0.88034188034188032</c:v>
                </c:pt>
                <c:pt idx="161">
                  <c:v>1.0121765601217656</c:v>
                </c:pt>
                <c:pt idx="162">
                  <c:v>1.0101471334348047</c:v>
                </c:pt>
                <c:pt idx="163">
                  <c:v>0.99543378995433784</c:v>
                </c:pt>
                <c:pt idx="164">
                  <c:v>1.0626460963066853</c:v>
                </c:pt>
                <c:pt idx="165">
                  <c:v>1.0088826554464703</c:v>
                </c:pt>
                <c:pt idx="166">
                  <c:v>1.0532959326788218</c:v>
                </c:pt>
                <c:pt idx="167">
                  <c:v>1.3605115907274181</c:v>
                </c:pt>
                <c:pt idx="168">
                  <c:v>1.3469224620303757</c:v>
                </c:pt>
                <c:pt idx="169">
                  <c:v>1.3445243804956035</c:v>
                </c:pt>
                <c:pt idx="170">
                  <c:v>1.0402010050251256</c:v>
                </c:pt>
                <c:pt idx="171">
                  <c:v>0.96882793017456359</c:v>
                </c:pt>
                <c:pt idx="172">
                  <c:v>1.1158827539195637</c:v>
                </c:pt>
                <c:pt idx="173">
                  <c:v>1.273764258555133</c:v>
                </c:pt>
                <c:pt idx="174">
                  <c:v>1.1425531914893616</c:v>
                </c:pt>
                <c:pt idx="175">
                  <c:v>1.2052505966587113</c:v>
                </c:pt>
                <c:pt idx="176">
                  <c:v>1.1594827586206897</c:v>
                </c:pt>
                <c:pt idx="177">
                  <c:v>1.0242872228088702</c:v>
                </c:pt>
                <c:pt idx="178">
                  <c:v>1.018450184501845</c:v>
                </c:pt>
                <c:pt idx="179">
                  <c:v>1.086264100862641</c:v>
                </c:pt>
                <c:pt idx="180">
                  <c:v>1.2523364485981308</c:v>
                </c:pt>
                <c:pt idx="181">
                  <c:v>1.1771561771561772</c:v>
                </c:pt>
                <c:pt idx="182">
                  <c:v>1.1187499999999999</c:v>
                </c:pt>
                <c:pt idx="183">
                  <c:v>1.0941935483870968</c:v>
                </c:pt>
                <c:pt idx="184">
                  <c:v>0.9083263246425568</c:v>
                </c:pt>
                <c:pt idx="185">
                  <c:v>0.87961595273264404</c:v>
                </c:pt>
                <c:pt idx="186">
                  <c:v>1.0299401197604789</c:v>
                </c:pt>
                <c:pt idx="187">
                  <c:v>1.4118907337975362</c:v>
                </c:pt>
                <c:pt idx="188">
                  <c:v>1.1107502435855798</c:v>
                </c:pt>
                <c:pt idx="189">
                  <c:v>1.1047272727272728</c:v>
                </c:pt>
                <c:pt idx="190">
                  <c:v>1.1982182628062361</c:v>
                </c:pt>
                <c:pt idx="191">
                  <c:v>1.2930555555555556</c:v>
                </c:pt>
                <c:pt idx="192">
                  <c:v>1.0396570203644158</c:v>
                </c:pt>
                <c:pt idx="193">
                  <c:v>1.3256150506512301</c:v>
                </c:pt>
                <c:pt idx="194">
                  <c:v>1.1158827539195637</c:v>
                </c:pt>
                <c:pt idx="195">
                  <c:v>1.0807635829662261</c:v>
                </c:pt>
                <c:pt idx="196">
                  <c:v>0.93796159527326439</c:v>
                </c:pt>
                <c:pt idx="197">
                  <c:v>1</c:v>
                </c:pt>
                <c:pt idx="198">
                  <c:v>0.93078055964653905</c:v>
                </c:pt>
                <c:pt idx="199">
                  <c:v>0.98536315934824636</c:v>
                </c:pt>
                <c:pt idx="200">
                  <c:v>1.0405609167671894</c:v>
                </c:pt>
                <c:pt idx="201">
                  <c:v>1.0950570342205324</c:v>
                </c:pt>
                <c:pt idx="202">
                  <c:v>1.0164556962025317</c:v>
                </c:pt>
                <c:pt idx="203">
                  <c:v>1.0411502231036192</c:v>
                </c:pt>
                <c:pt idx="204">
                  <c:v>1.0196233372843408</c:v>
                </c:pt>
                <c:pt idx="205">
                  <c:v>0.99651972157772617</c:v>
                </c:pt>
                <c:pt idx="206">
                  <c:v>1.0680507497116494</c:v>
                </c:pt>
                <c:pt idx="207">
                  <c:v>0.99953325554259043</c:v>
                </c:pt>
                <c:pt idx="208">
                  <c:v>1.1027161665282885</c:v>
                </c:pt>
                <c:pt idx="209">
                  <c:v>0.97777777777777775</c:v>
                </c:pt>
                <c:pt idx="210">
                  <c:v>0.9544117647058824</c:v>
                </c:pt>
                <c:pt idx="211">
                  <c:v>1.0044182621502209</c:v>
                </c:pt>
                <c:pt idx="212">
                  <c:v>0.98563535911602207</c:v>
                </c:pt>
                <c:pt idx="213">
                  <c:v>0.99079384243887714</c:v>
                </c:pt>
                <c:pt idx="214">
                  <c:v>1.0126582278481013</c:v>
                </c:pt>
                <c:pt idx="215">
                  <c:v>0.94522292993630574</c:v>
                </c:pt>
                <c:pt idx="216">
                  <c:v>0.99752045623605257</c:v>
                </c:pt>
                <c:pt idx="217">
                  <c:v>1.0453287653182237</c:v>
                </c:pt>
                <c:pt idx="218">
                  <c:v>1.0115340253748559</c:v>
                </c:pt>
                <c:pt idx="219">
                  <c:v>1</c:v>
                </c:pt>
                <c:pt idx="220">
                  <c:v>0.98251340638843554</c:v>
                </c:pt>
                <c:pt idx="221">
                  <c:v>0.98210900473933649</c:v>
                </c:pt>
                <c:pt idx="222">
                  <c:v>0.97386519944979366</c:v>
                </c:pt>
                <c:pt idx="223">
                  <c:v>1.1279229711141678</c:v>
                </c:pt>
                <c:pt idx="224">
                  <c:v>1.0536451169188445</c:v>
                </c:pt>
                <c:pt idx="225">
                  <c:v>1.1279229711141678</c:v>
                </c:pt>
                <c:pt idx="226">
                  <c:v>1.0729023383768914</c:v>
                </c:pt>
                <c:pt idx="227">
                  <c:v>1.1196698762035764</c:v>
                </c:pt>
                <c:pt idx="228">
                  <c:v>1.0526315789473684</c:v>
                </c:pt>
                <c:pt idx="229">
                  <c:v>1.057168784029038</c:v>
                </c:pt>
                <c:pt idx="230">
                  <c:v>0.98003629764065336</c:v>
                </c:pt>
                <c:pt idx="231">
                  <c:v>0.98003629764065336</c:v>
                </c:pt>
                <c:pt idx="232">
                  <c:v>1.0812159709618874</c:v>
                </c:pt>
                <c:pt idx="233">
                  <c:v>1.0235934664246824</c:v>
                </c:pt>
                <c:pt idx="234">
                  <c:v>1.1043478260869564</c:v>
                </c:pt>
                <c:pt idx="235">
                  <c:v>1.0956521739130434</c:v>
                </c:pt>
                <c:pt idx="236">
                  <c:v>1.1445255474452556</c:v>
                </c:pt>
                <c:pt idx="237">
                  <c:v>1.1207685269899359</c:v>
                </c:pt>
                <c:pt idx="238">
                  <c:v>1.0945334590009426</c:v>
                </c:pt>
                <c:pt idx="239">
                  <c:v>1.1245901639344262</c:v>
                </c:pt>
                <c:pt idx="240">
                  <c:v>1.1671166827386692</c:v>
                </c:pt>
                <c:pt idx="241">
                  <c:v>1.8243664717348926</c:v>
                </c:pt>
                <c:pt idx="242">
                  <c:v>0.90550239234449759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C5-462E-A8C6-5081DF84B387}"/>
            </c:ext>
          </c:extLst>
        </c:ser>
        <c:ser>
          <c:idx val="1"/>
          <c:order val="1"/>
          <c:tx>
            <c:v> Giakoumelis (15)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Data!$E$7:$E$21</c:f>
              <c:numCache>
                <c:formatCode>General</c:formatCode>
                <c:ptCount val="15"/>
                <c:pt idx="0" formatCode="0.0_)">
                  <c:v>0.1</c:v>
                </c:pt>
                <c:pt idx="1">
                  <c:v>0.1</c:v>
                </c:pt>
                <c:pt idx="2">
                  <c:v>25.1</c:v>
                </c:pt>
                <c:pt idx="3">
                  <c:v>74.900000000000006</c:v>
                </c:pt>
                <c:pt idx="4">
                  <c:v>27.8</c:v>
                </c:pt>
                <c:pt idx="5">
                  <c:v>77.8</c:v>
                </c:pt>
                <c:pt idx="6">
                  <c:v>27.8</c:v>
                </c:pt>
                <c:pt idx="7">
                  <c:v>83.9</c:v>
                </c:pt>
                <c:pt idx="8">
                  <c:v>46.1</c:v>
                </c:pt>
                <c:pt idx="9">
                  <c:v>46.1</c:v>
                </c:pt>
                <c:pt idx="10">
                  <c:v>46.1</c:v>
                </c:pt>
                <c:pt idx="11">
                  <c:v>25.5</c:v>
                </c:pt>
                <c:pt idx="12">
                  <c:v>25.5</c:v>
                </c:pt>
                <c:pt idx="13">
                  <c:v>79.099999999999994</c:v>
                </c:pt>
                <c:pt idx="14">
                  <c:v>79.099999999999994</c:v>
                </c:pt>
              </c:numCache>
            </c:numRef>
          </c:xVal>
          <c:yVal>
            <c:numRef>
              <c:f>Summary!$K$6:$K$20</c:f>
              <c:numCache>
                <c:formatCode>0.00</c:formatCode>
                <c:ptCount val="15"/>
                <c:pt idx="0">
                  <c:v>1.1719999999999999</c:v>
                </c:pt>
                <c:pt idx="1">
                  <c:v>1.3520000000000001</c:v>
                </c:pt>
                <c:pt idx="2">
                  <c:v>1.016</c:v>
                </c:pt>
                <c:pt idx="3">
                  <c:v>0.97099999999999997</c:v>
                </c:pt>
                <c:pt idx="4">
                  <c:v>0.999</c:v>
                </c:pt>
                <c:pt idx="5">
                  <c:v>1.0009999999999999</c:v>
                </c:pt>
                <c:pt idx="6">
                  <c:v>1.2549999999999999</c:v>
                </c:pt>
                <c:pt idx="7">
                  <c:v>1.149</c:v>
                </c:pt>
                <c:pt idx="8">
                  <c:v>1.119</c:v>
                </c:pt>
                <c:pt idx="9">
                  <c:v>0.96799999999999997</c:v>
                </c:pt>
                <c:pt idx="10">
                  <c:v>0.999</c:v>
                </c:pt>
                <c:pt idx="11">
                  <c:v>1.0920000000000001</c:v>
                </c:pt>
                <c:pt idx="12">
                  <c:v>1.0409999999999999</c:v>
                </c:pt>
                <c:pt idx="13">
                  <c:v>0.998</c:v>
                </c:pt>
                <c:pt idx="14">
                  <c:v>0.86899999999999999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C5-462E-A8C6-5081DF84B387}"/>
            </c:ext>
          </c:extLst>
        </c:ser>
        <c:ser>
          <c:idx val="2"/>
          <c:order val="2"/>
          <c:tx>
            <c:v> Ellobody (8)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Data!$E$24:$E$31</c:f>
              <c:numCache>
                <c:formatCode>0.0</c:formatCode>
                <c:ptCount val="8"/>
                <c:pt idx="0">
                  <c:v>0.1</c:v>
                </c:pt>
                <c:pt idx="1">
                  <c:v>0.1</c:v>
                </c:pt>
                <c:pt idx="2">
                  <c:v>25.4</c:v>
                </c:pt>
                <c:pt idx="3">
                  <c:v>40.5</c:v>
                </c:pt>
                <c:pt idx="4">
                  <c:v>77</c:v>
                </c:pt>
                <c:pt idx="5">
                  <c:v>35.4</c:v>
                </c:pt>
                <c:pt idx="6">
                  <c:v>41.1</c:v>
                </c:pt>
                <c:pt idx="7">
                  <c:v>85.1</c:v>
                </c:pt>
              </c:numCache>
            </c:numRef>
          </c:xVal>
          <c:yVal>
            <c:numRef>
              <c:f>Summary!$K$23:$K$30</c:f>
              <c:numCache>
                <c:formatCode>0.00</c:formatCode>
                <c:ptCount val="8"/>
                <c:pt idx="0">
                  <c:v>1.0449999999999999</c:v>
                </c:pt>
                <c:pt idx="1">
                  <c:v>1.04</c:v>
                </c:pt>
                <c:pt idx="2">
                  <c:v>0.86899999999999999</c:v>
                </c:pt>
                <c:pt idx="3">
                  <c:v>0.90200000000000002</c:v>
                </c:pt>
                <c:pt idx="4">
                  <c:v>1.0249999999999999</c:v>
                </c:pt>
                <c:pt idx="5">
                  <c:v>0.77800000000000002</c:v>
                </c:pt>
                <c:pt idx="6">
                  <c:v>0.93600000000000005</c:v>
                </c:pt>
                <c:pt idx="7">
                  <c:v>0.97899999999999998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C5-462E-A8C6-5081DF84B387}"/>
            </c:ext>
          </c:extLst>
        </c:ser>
        <c:ser>
          <c:idx val="3"/>
          <c:order val="3"/>
          <c:tx>
            <c:v> Bai &amp; Li (12)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Data!$E$34:$E$45</c:f>
              <c:numCache>
                <c:formatCode>0.0</c:formatCode>
                <c:ptCount val="12"/>
                <c:pt idx="0">
                  <c:v>24.2</c:v>
                </c:pt>
                <c:pt idx="1">
                  <c:v>24.2</c:v>
                </c:pt>
                <c:pt idx="2">
                  <c:v>24.2</c:v>
                </c:pt>
                <c:pt idx="3">
                  <c:v>24.2</c:v>
                </c:pt>
                <c:pt idx="4">
                  <c:v>24.2</c:v>
                </c:pt>
                <c:pt idx="5">
                  <c:v>24.2</c:v>
                </c:pt>
                <c:pt idx="6">
                  <c:v>24.2</c:v>
                </c:pt>
                <c:pt idx="7">
                  <c:v>24.2</c:v>
                </c:pt>
                <c:pt idx="8">
                  <c:v>24.2</c:v>
                </c:pt>
                <c:pt idx="9">
                  <c:v>24.2</c:v>
                </c:pt>
                <c:pt idx="10">
                  <c:v>24.2</c:v>
                </c:pt>
                <c:pt idx="11">
                  <c:v>24.2</c:v>
                </c:pt>
              </c:numCache>
            </c:numRef>
          </c:xVal>
          <c:yVal>
            <c:numRef>
              <c:f>Summary!$K$33:$K$44</c:f>
              <c:numCache>
                <c:formatCode>0.00</c:formatCode>
                <c:ptCount val="12"/>
                <c:pt idx="0">
                  <c:v>1.1559999999999999</c:v>
                </c:pt>
                <c:pt idx="1">
                  <c:v>1.1559999999999999</c:v>
                </c:pt>
                <c:pt idx="2">
                  <c:v>1.1559999999999999</c:v>
                </c:pt>
                <c:pt idx="3">
                  <c:v>1.1639999999999999</c:v>
                </c:pt>
                <c:pt idx="4">
                  <c:v>1.1639999999999999</c:v>
                </c:pt>
                <c:pt idx="5">
                  <c:v>1.1639999999999999</c:v>
                </c:pt>
                <c:pt idx="6">
                  <c:v>1.151</c:v>
                </c:pt>
                <c:pt idx="7">
                  <c:v>1.151</c:v>
                </c:pt>
                <c:pt idx="8">
                  <c:v>1.151</c:v>
                </c:pt>
                <c:pt idx="9">
                  <c:v>1.121</c:v>
                </c:pt>
                <c:pt idx="10">
                  <c:v>1.121</c:v>
                </c:pt>
                <c:pt idx="11">
                  <c:v>1.121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C5-462E-A8C6-5081DF84B387}"/>
            </c:ext>
          </c:extLst>
        </c:ser>
        <c:ser>
          <c:idx val="4"/>
          <c:order val="4"/>
          <c:tx>
            <c:v> Giak. greased  (5)</c:v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'from old a)'!$H$5:$H$9</c:f>
              <c:numCache>
                <c:formatCode>0.00</c:formatCode>
                <c:ptCount val="5"/>
                <c:pt idx="0">
                  <c:v>27.8</c:v>
                </c:pt>
                <c:pt idx="1">
                  <c:v>77.8</c:v>
                </c:pt>
                <c:pt idx="2">
                  <c:v>46.1</c:v>
                </c:pt>
                <c:pt idx="3">
                  <c:v>25.5</c:v>
                </c:pt>
                <c:pt idx="4">
                  <c:v>79.099999999999994</c:v>
                </c:pt>
              </c:numCache>
            </c:numRef>
          </c:xVal>
          <c:yVal>
            <c:numRef>
              <c:f>'from old a)'!$I$5:$I$9</c:f>
              <c:numCache>
                <c:formatCode>0.00</c:formatCode>
                <c:ptCount val="5"/>
                <c:pt idx="0">
                  <c:v>0.999</c:v>
                </c:pt>
                <c:pt idx="1">
                  <c:v>1.0009999999999999</c:v>
                </c:pt>
                <c:pt idx="2">
                  <c:v>0.96799999999999997</c:v>
                </c:pt>
                <c:pt idx="3">
                  <c:v>1.0409999999999999</c:v>
                </c:pt>
                <c:pt idx="4">
                  <c:v>0.86899999999999999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C5-462E-A8C6-5081DF84B387}"/>
            </c:ext>
          </c:extLst>
        </c:ser>
        <c:ser>
          <c:idx val="5"/>
          <c:order val="5"/>
          <c:tx>
            <c:v> Zhang (36)</c:v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Data!$E$48:$E$83</c:f>
              <c:numCache>
                <c:formatCode>0.0</c:formatCode>
                <c:ptCount val="36"/>
                <c:pt idx="0">
                  <c:v>40.6</c:v>
                </c:pt>
                <c:pt idx="1">
                  <c:v>40.6</c:v>
                </c:pt>
                <c:pt idx="2">
                  <c:v>40.6</c:v>
                </c:pt>
                <c:pt idx="3">
                  <c:v>35.700000000000003</c:v>
                </c:pt>
                <c:pt idx="4">
                  <c:v>35.700000000000003</c:v>
                </c:pt>
                <c:pt idx="5">
                  <c:v>35.700000000000003</c:v>
                </c:pt>
                <c:pt idx="6">
                  <c:v>35.700000000000003</c:v>
                </c:pt>
                <c:pt idx="7">
                  <c:v>35.700000000000003</c:v>
                </c:pt>
                <c:pt idx="8">
                  <c:v>35.700000000000003</c:v>
                </c:pt>
                <c:pt idx="9">
                  <c:v>37.200000000000003</c:v>
                </c:pt>
                <c:pt idx="10">
                  <c:v>37.200000000000003</c:v>
                </c:pt>
                <c:pt idx="11">
                  <c:v>37.200000000000003</c:v>
                </c:pt>
                <c:pt idx="12">
                  <c:v>56.5</c:v>
                </c:pt>
                <c:pt idx="13">
                  <c:v>56.5</c:v>
                </c:pt>
                <c:pt idx="14">
                  <c:v>56.5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49.1</c:v>
                </c:pt>
                <c:pt idx="19">
                  <c:v>49.1</c:v>
                </c:pt>
                <c:pt idx="20">
                  <c:v>49.1</c:v>
                </c:pt>
                <c:pt idx="21">
                  <c:v>56.5</c:v>
                </c:pt>
                <c:pt idx="22">
                  <c:v>56.5</c:v>
                </c:pt>
                <c:pt idx="23">
                  <c:v>56.5</c:v>
                </c:pt>
                <c:pt idx="24">
                  <c:v>61.7</c:v>
                </c:pt>
                <c:pt idx="25">
                  <c:v>61.7</c:v>
                </c:pt>
                <c:pt idx="26">
                  <c:v>61.7</c:v>
                </c:pt>
                <c:pt idx="27">
                  <c:v>61.7</c:v>
                </c:pt>
                <c:pt idx="28">
                  <c:v>61.7</c:v>
                </c:pt>
                <c:pt idx="29">
                  <c:v>61.7</c:v>
                </c:pt>
                <c:pt idx="30">
                  <c:v>61.7</c:v>
                </c:pt>
                <c:pt idx="31">
                  <c:v>61.7</c:v>
                </c:pt>
                <c:pt idx="32">
                  <c:v>61.7</c:v>
                </c:pt>
                <c:pt idx="33">
                  <c:v>61.7</c:v>
                </c:pt>
                <c:pt idx="34">
                  <c:v>61.7</c:v>
                </c:pt>
                <c:pt idx="35">
                  <c:v>61.7</c:v>
                </c:pt>
              </c:numCache>
            </c:numRef>
          </c:xVal>
          <c:yVal>
            <c:numRef>
              <c:f>Data!$U$48:$U$83</c:f>
              <c:numCache>
                <c:formatCode>0.00_)</c:formatCode>
                <c:ptCount val="36"/>
                <c:pt idx="0">
                  <c:v>1.0049999999999999</c:v>
                </c:pt>
                <c:pt idx="1">
                  <c:v>0.98099999999999998</c:v>
                </c:pt>
                <c:pt idx="2">
                  <c:v>1.0009999999999999</c:v>
                </c:pt>
                <c:pt idx="3">
                  <c:v>0.97899999999999998</c:v>
                </c:pt>
                <c:pt idx="4">
                  <c:v>1.0449999999999999</c:v>
                </c:pt>
                <c:pt idx="5">
                  <c:v>0.99299999999999999</c:v>
                </c:pt>
                <c:pt idx="6">
                  <c:v>1.002</c:v>
                </c:pt>
                <c:pt idx="7">
                  <c:v>1.026</c:v>
                </c:pt>
                <c:pt idx="8">
                  <c:v>1.0820000000000001</c:v>
                </c:pt>
                <c:pt idx="9">
                  <c:v>1.08</c:v>
                </c:pt>
                <c:pt idx="10">
                  <c:v>1.079</c:v>
                </c:pt>
                <c:pt idx="11">
                  <c:v>1.097</c:v>
                </c:pt>
                <c:pt idx="12">
                  <c:v>1.0369999999999999</c:v>
                </c:pt>
                <c:pt idx="13">
                  <c:v>1.056</c:v>
                </c:pt>
                <c:pt idx="14">
                  <c:v>1.0229999999999999</c:v>
                </c:pt>
                <c:pt idx="15">
                  <c:v>1.1060000000000001</c:v>
                </c:pt>
                <c:pt idx="16">
                  <c:v>1.1180000000000001</c:v>
                </c:pt>
                <c:pt idx="17">
                  <c:v>1.115</c:v>
                </c:pt>
                <c:pt idx="18">
                  <c:v>1.1259999999999999</c:v>
                </c:pt>
                <c:pt idx="19">
                  <c:v>1.1319999999999999</c:v>
                </c:pt>
                <c:pt idx="20">
                  <c:v>1.1060000000000001</c:v>
                </c:pt>
                <c:pt idx="21">
                  <c:v>1.0669999999999999</c:v>
                </c:pt>
                <c:pt idx="22">
                  <c:v>1.06</c:v>
                </c:pt>
                <c:pt idx="23">
                  <c:v>1.0960000000000001</c:v>
                </c:pt>
                <c:pt idx="24">
                  <c:v>1.1279999999999999</c:v>
                </c:pt>
                <c:pt idx="25">
                  <c:v>1.1240000000000001</c:v>
                </c:pt>
                <c:pt idx="26">
                  <c:v>1.085</c:v>
                </c:pt>
                <c:pt idx="27">
                  <c:v>1.052</c:v>
                </c:pt>
                <c:pt idx="28">
                  <c:v>1.056</c:v>
                </c:pt>
                <c:pt idx="29">
                  <c:v>1.07</c:v>
                </c:pt>
                <c:pt idx="30">
                  <c:v>1.109</c:v>
                </c:pt>
                <c:pt idx="31">
                  <c:v>1.1120000000000001</c:v>
                </c:pt>
                <c:pt idx="32">
                  <c:v>1.133</c:v>
                </c:pt>
                <c:pt idx="33">
                  <c:v>0.95399999999999996</c:v>
                </c:pt>
                <c:pt idx="34">
                  <c:v>1.006</c:v>
                </c:pt>
                <c:pt idx="35">
                  <c:v>1.014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C5-462E-A8C6-5081DF84B387}"/>
            </c:ext>
          </c:extLst>
        </c:ser>
        <c:ser>
          <c:idx val="6"/>
          <c:order val="6"/>
          <c:tx>
            <c:v> Sakino (36)</c:v>
          </c:tx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Data!$E$86:$E$121</c:f>
              <c:numCache>
                <c:formatCode>0.0</c:formatCode>
                <c:ptCount val="36"/>
                <c:pt idx="0">
                  <c:v>25.4</c:v>
                </c:pt>
                <c:pt idx="1">
                  <c:v>40.5</c:v>
                </c:pt>
                <c:pt idx="2">
                  <c:v>40.5</c:v>
                </c:pt>
                <c:pt idx="3">
                  <c:v>77</c:v>
                </c:pt>
                <c:pt idx="4">
                  <c:v>25.4</c:v>
                </c:pt>
                <c:pt idx="5">
                  <c:v>41.1</c:v>
                </c:pt>
                <c:pt idx="6">
                  <c:v>41.1</c:v>
                </c:pt>
                <c:pt idx="7">
                  <c:v>80.3</c:v>
                </c:pt>
                <c:pt idx="8">
                  <c:v>25.4</c:v>
                </c:pt>
                <c:pt idx="9">
                  <c:v>41.1</c:v>
                </c:pt>
                <c:pt idx="10">
                  <c:v>41.1</c:v>
                </c:pt>
                <c:pt idx="11">
                  <c:v>85.1</c:v>
                </c:pt>
                <c:pt idx="12">
                  <c:v>25.4</c:v>
                </c:pt>
                <c:pt idx="13">
                  <c:v>40.5</c:v>
                </c:pt>
                <c:pt idx="14">
                  <c:v>40.5</c:v>
                </c:pt>
                <c:pt idx="15">
                  <c:v>77</c:v>
                </c:pt>
                <c:pt idx="16">
                  <c:v>25.4</c:v>
                </c:pt>
                <c:pt idx="17">
                  <c:v>40.5</c:v>
                </c:pt>
                <c:pt idx="18">
                  <c:v>40.5</c:v>
                </c:pt>
                <c:pt idx="19">
                  <c:v>77</c:v>
                </c:pt>
                <c:pt idx="20">
                  <c:v>25.4</c:v>
                </c:pt>
                <c:pt idx="21">
                  <c:v>41.1</c:v>
                </c:pt>
                <c:pt idx="22">
                  <c:v>41.1</c:v>
                </c:pt>
                <c:pt idx="23">
                  <c:v>85.1</c:v>
                </c:pt>
                <c:pt idx="24">
                  <c:v>25.4</c:v>
                </c:pt>
                <c:pt idx="25">
                  <c:v>40.5</c:v>
                </c:pt>
                <c:pt idx="26">
                  <c:v>40.5</c:v>
                </c:pt>
                <c:pt idx="27">
                  <c:v>77</c:v>
                </c:pt>
                <c:pt idx="28">
                  <c:v>25.4</c:v>
                </c:pt>
                <c:pt idx="29">
                  <c:v>40.5</c:v>
                </c:pt>
                <c:pt idx="30">
                  <c:v>40.5</c:v>
                </c:pt>
                <c:pt idx="31">
                  <c:v>77</c:v>
                </c:pt>
                <c:pt idx="32">
                  <c:v>25.4</c:v>
                </c:pt>
                <c:pt idx="33">
                  <c:v>41.1</c:v>
                </c:pt>
                <c:pt idx="34">
                  <c:v>41.1</c:v>
                </c:pt>
                <c:pt idx="35">
                  <c:v>85.1</c:v>
                </c:pt>
              </c:numCache>
            </c:numRef>
          </c:xVal>
          <c:yVal>
            <c:numRef>
              <c:f>Data!$U$86:$U$121</c:f>
              <c:numCache>
                <c:formatCode>0.00_)</c:formatCode>
                <c:ptCount val="36"/>
                <c:pt idx="0">
                  <c:v>0.91300000000000003</c:v>
                </c:pt>
                <c:pt idx="1">
                  <c:v>0.84599999999999997</c:v>
                </c:pt>
                <c:pt idx="2">
                  <c:v>0.85899999999999999</c:v>
                </c:pt>
                <c:pt idx="3">
                  <c:v>0.98199999999999998</c:v>
                </c:pt>
                <c:pt idx="4">
                  <c:v>0.82199999999999995</c:v>
                </c:pt>
                <c:pt idx="5">
                  <c:v>0.83899999999999997</c:v>
                </c:pt>
                <c:pt idx="6">
                  <c:v>0.80700000000000005</c:v>
                </c:pt>
                <c:pt idx="7">
                  <c:v>0.84799999999999998</c:v>
                </c:pt>
                <c:pt idx="8">
                  <c:v>0.77900000000000003</c:v>
                </c:pt>
                <c:pt idx="9">
                  <c:v>0.85499999999999998</c:v>
                </c:pt>
                <c:pt idx="10">
                  <c:v>0.87</c:v>
                </c:pt>
                <c:pt idx="11">
                  <c:v>0.79300000000000004</c:v>
                </c:pt>
                <c:pt idx="12">
                  <c:v>0.95099999999999996</c:v>
                </c:pt>
                <c:pt idx="13">
                  <c:v>0.96299999999999997</c:v>
                </c:pt>
                <c:pt idx="14">
                  <c:v>0.96599999999999997</c:v>
                </c:pt>
                <c:pt idx="15">
                  <c:v>1.024</c:v>
                </c:pt>
                <c:pt idx="16">
                  <c:v>0.86899999999999999</c:v>
                </c:pt>
                <c:pt idx="17">
                  <c:v>0.88600000000000001</c:v>
                </c:pt>
                <c:pt idx="18">
                  <c:v>0.90200000000000002</c:v>
                </c:pt>
                <c:pt idx="19">
                  <c:v>1.0249999999999999</c:v>
                </c:pt>
                <c:pt idx="20">
                  <c:v>0.88900000000000001</c:v>
                </c:pt>
                <c:pt idx="21">
                  <c:v>0.93600000000000005</c:v>
                </c:pt>
                <c:pt idx="22">
                  <c:v>0.91200000000000003</c:v>
                </c:pt>
                <c:pt idx="23">
                  <c:v>0.97899999999999998</c:v>
                </c:pt>
                <c:pt idx="24">
                  <c:v>0.94299999999999995</c:v>
                </c:pt>
                <c:pt idx="25">
                  <c:v>0.96399999999999997</c:v>
                </c:pt>
                <c:pt idx="26">
                  <c:v>0.95799999999999996</c:v>
                </c:pt>
                <c:pt idx="27">
                  <c:v>0.99199999999999999</c:v>
                </c:pt>
                <c:pt idx="28">
                  <c:v>0.85299999999999998</c:v>
                </c:pt>
                <c:pt idx="29">
                  <c:v>0.89800000000000002</c:v>
                </c:pt>
                <c:pt idx="30">
                  <c:v>0.91</c:v>
                </c:pt>
                <c:pt idx="31">
                  <c:v>0.98699999999999999</c:v>
                </c:pt>
                <c:pt idx="32">
                  <c:v>0.876</c:v>
                </c:pt>
                <c:pt idx="33">
                  <c:v>0.89100000000000001</c:v>
                </c:pt>
                <c:pt idx="34">
                  <c:v>0.90700000000000003</c:v>
                </c:pt>
                <c:pt idx="35">
                  <c:v>0.97499999999999998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AC5-462E-A8C6-5081DF84B387}"/>
            </c:ext>
          </c:extLst>
        </c:ser>
        <c:ser>
          <c:idx val="7"/>
          <c:order val="7"/>
          <c:tx>
            <c:v> Zhang (2) comp</c:v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Summary!$E$130:$E$131</c:f>
              <c:numCache>
                <c:formatCode>General</c:formatCode>
                <c:ptCount val="2"/>
                <c:pt idx="0">
                  <c:v>70.8</c:v>
                </c:pt>
                <c:pt idx="1">
                  <c:v>70.8</c:v>
                </c:pt>
              </c:numCache>
            </c:numRef>
          </c:xVal>
          <c:yVal>
            <c:numRef>
              <c:f>Summary!$K$130:$K$131</c:f>
              <c:numCache>
                <c:formatCode>0.00</c:formatCode>
                <c:ptCount val="2"/>
                <c:pt idx="0">
                  <c:v>1.04</c:v>
                </c:pt>
                <c:pt idx="1">
                  <c:v>1.155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AC5-462E-A8C6-5081DF84B387}"/>
            </c:ext>
          </c:extLst>
        </c:ser>
        <c:ser>
          <c:idx val="8"/>
          <c:order val="8"/>
          <c:tx>
            <c:v> Zhang (16) conc load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Summary!$E$132:$E$147</c:f>
              <c:numCache>
                <c:formatCode>General</c:formatCode>
                <c:ptCount val="16"/>
                <c:pt idx="0">
                  <c:v>70.8</c:v>
                </c:pt>
                <c:pt idx="1">
                  <c:v>70.8</c:v>
                </c:pt>
                <c:pt idx="2">
                  <c:v>70.8</c:v>
                </c:pt>
                <c:pt idx="3">
                  <c:v>70.8</c:v>
                </c:pt>
                <c:pt idx="4">
                  <c:v>75.3</c:v>
                </c:pt>
                <c:pt idx="5">
                  <c:v>75.3</c:v>
                </c:pt>
                <c:pt idx="6">
                  <c:v>75.3</c:v>
                </c:pt>
                <c:pt idx="7">
                  <c:v>75.3</c:v>
                </c:pt>
                <c:pt idx="8">
                  <c:v>75.3</c:v>
                </c:pt>
                <c:pt idx="9">
                  <c:v>75.3</c:v>
                </c:pt>
                <c:pt idx="10">
                  <c:v>75.3</c:v>
                </c:pt>
                <c:pt idx="11">
                  <c:v>75.3</c:v>
                </c:pt>
                <c:pt idx="12">
                  <c:v>75.3</c:v>
                </c:pt>
                <c:pt idx="13">
                  <c:v>75.3</c:v>
                </c:pt>
                <c:pt idx="14">
                  <c:v>75.3</c:v>
                </c:pt>
                <c:pt idx="15">
                  <c:v>75.3</c:v>
                </c:pt>
              </c:numCache>
            </c:numRef>
          </c:xVal>
          <c:yVal>
            <c:numRef>
              <c:f>Summary!$K$132:$K$147</c:f>
              <c:numCache>
                <c:formatCode>0.00</c:formatCode>
                <c:ptCount val="16"/>
                <c:pt idx="0">
                  <c:v>1.0980000000000001</c:v>
                </c:pt>
                <c:pt idx="1">
                  <c:v>1.377</c:v>
                </c:pt>
                <c:pt idx="2">
                  <c:v>1.1719999999999999</c:v>
                </c:pt>
                <c:pt idx="3">
                  <c:v>1.4450000000000001</c:v>
                </c:pt>
                <c:pt idx="4">
                  <c:v>1.264</c:v>
                </c:pt>
                <c:pt idx="5">
                  <c:v>1.2609999999999999</c:v>
                </c:pt>
                <c:pt idx="6">
                  <c:v>1.1990000000000001</c:v>
                </c:pt>
                <c:pt idx="7">
                  <c:v>0.252</c:v>
                </c:pt>
                <c:pt idx="8">
                  <c:v>1.0409999999999999</c:v>
                </c:pt>
                <c:pt idx="9">
                  <c:v>1.05</c:v>
                </c:pt>
                <c:pt idx="10">
                  <c:v>1.2589999999999999</c:v>
                </c:pt>
                <c:pt idx="11">
                  <c:v>1.2909999999999999</c:v>
                </c:pt>
                <c:pt idx="12">
                  <c:v>1.3080000000000001</c:v>
                </c:pt>
                <c:pt idx="13">
                  <c:v>1.2689999999999999</c:v>
                </c:pt>
                <c:pt idx="14">
                  <c:v>1.228</c:v>
                </c:pt>
                <c:pt idx="15">
                  <c:v>1.2010000000000001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AC5-462E-A8C6-5081DF84B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9694623"/>
        <c:axId val="1"/>
      </c:scatterChart>
      <c:valAx>
        <c:axId val="169969462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Concrete Cylinder Strength  MPa</a:t>
                </a:r>
              </a:p>
            </c:rich>
          </c:tx>
          <c:layout>
            <c:manualLayout>
              <c:xMode val="edge"/>
              <c:yMode val="edge"/>
              <c:x val="0.39503619441571874"/>
              <c:y val="0.940677966101694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 Test/EC4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4237288135593220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694623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9979317476732164"/>
          <c:y val="0.15762711864406781"/>
          <c:w val="0.92244053774560497"/>
          <c:h val="0.32372881355932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68" workbookViewId="0" xr3:uid="{842E5F09-E766-5B8D-85AF-A39847EA96FD}"/>
  </sheetViews>
  <pageMargins left="0.75" right="0.75" top="1" bottom="1" header="0.5" footer="0.5"/>
  <pageSetup paperSize="9" orientation="landscape" horizontalDpi="4294967293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68" workbookViewId="0" xr3:uid="{51F8DEE0-4D01-5F28-A812-FC0BD7CAC4A5}"/>
  </sheetViews>
  <pageMargins left="0.75" right="0.75" top="1" bottom="1" header="0.5" footer="0.5"/>
  <pageSetup paperSize="9" orientation="landscape" horizontalDpi="4294967294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DF1099DF-157F-4CFB-97E9-8C989E39A5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0.08475</cdr:x>
      <cdr:y>0.12775</cdr:y>
    </cdr:from>
    <cdr:to>
      <cdr:x>0.9455</cdr:x>
      <cdr:y>0.88825</cdr:y>
    </cdr:to>
    <cdr:sp macro="" textlink="">
      <cdr:nvSpPr>
        <cdr:cNvPr id="1025" name="Line 1">
          <a:extLst xmlns:a="http://schemas.openxmlformats.org/drawingml/2006/main">
            <a:ext uri="{FF2B5EF4-FFF2-40B4-BE49-F238E27FC236}">
              <a16:creationId xmlns:a16="http://schemas.microsoft.com/office/drawing/2014/main" id="{62C488AA-65DE-4437-AD8F-48A475A7327D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80605" y="717923"/>
          <a:ext cx="7928088" cy="42738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D092EEC-7A2B-4AC7-9FCB-43B305A7F7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</cdr:x>
      <cdr:y>0.67075</cdr:y>
    </cdr:from>
    <cdr:to>
      <cdr:x>0.94025</cdr:x>
      <cdr:y>0.67075</cdr:y>
    </cdr:to>
    <cdr:sp macro="" textlink="">
      <cdr:nvSpPr>
        <cdr:cNvPr id="5121" name="Line 1">
          <a:extLst xmlns:a="http://schemas.openxmlformats.org/drawingml/2006/main">
            <a:ext uri="{FF2B5EF4-FFF2-40B4-BE49-F238E27FC236}">
              <a16:creationId xmlns:a16="http://schemas.microsoft.com/office/drawing/2014/main" id="{5E348104-13E7-44CC-B560-981EEF63547D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18433" y="3769447"/>
          <a:ext cx="794190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ccache/948abe48-847a-4666-9130-957fa3eb2405/a)%20Short%20Cir%20%20no%20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Graph"/>
      <sheetName val="G ex L"/>
      <sheetName val="v CDG"/>
      <sheetName val="v fcyl"/>
    </sheetNames>
    <sheetDataSet>
      <sheetData sheetId="0">
        <row r="4">
          <cell r="A4" t="str">
            <v>Ref. No.</v>
          </cell>
          <cell r="B4" t="str">
            <v xml:space="preserve">  Dia.</v>
          </cell>
          <cell r="C4" t="str">
            <v xml:space="preserve"> thick</v>
          </cell>
          <cell r="Q4" t="str">
            <v xml:space="preserve">  Test </v>
          </cell>
          <cell r="R4" t="str">
            <v xml:space="preserve">  Test  </v>
          </cell>
          <cell r="S4" t="str">
            <v xml:space="preserve">  Test </v>
          </cell>
          <cell r="T4" t="str">
            <v xml:space="preserve">  Test </v>
          </cell>
        </row>
        <row r="5">
          <cell r="B5" t="str">
            <v xml:space="preserve">   mm</v>
          </cell>
          <cell r="C5" t="str">
            <v xml:space="preserve">   mm</v>
          </cell>
          <cell r="Q5" t="str">
            <v xml:space="preserve"> Nunia</v>
          </cell>
          <cell r="R5" t="str">
            <v>no eta</v>
          </cell>
          <cell r="S5" t="str">
            <v xml:space="preserve"> Nucdg</v>
          </cell>
          <cell r="T5" t="str">
            <v xml:space="preserve"> NuEC4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3"/>
  <sheetViews>
    <sheetView tabSelected="1" zoomScaleNormal="100" workbookViewId="0" xr3:uid="{AEA406A1-0E4B-5B11-9CD5-51D6E497D94C}">
      <pane xSplit="1" ySplit="5" topLeftCell="O6" activePane="bottomRight" state="frozen"/>
      <selection pane="bottomRight" activeCell="Y6" sqref="Y6"/>
      <selection pane="bottomLeft" activeCell="A6" sqref="A6"/>
      <selection pane="topRight" activeCell="B1" sqref="B1"/>
    </sheetView>
  </sheetViews>
  <sheetFormatPr defaultRowHeight="12.75"/>
  <cols>
    <col min="1" max="1" width="14.7109375" customWidth="1"/>
    <col min="7" max="8" width="8.7109375" customWidth="1"/>
  </cols>
  <sheetData>
    <row r="1" spans="1:29" s="2" customFormat="1">
      <c r="A1" s="69" t="s">
        <v>0</v>
      </c>
      <c r="B1" s="70"/>
      <c r="C1" s="70"/>
      <c r="D1" s="70"/>
      <c r="E1" s="70"/>
      <c r="F1" s="70"/>
      <c r="G1" s="70"/>
      <c r="H1" s="70"/>
      <c r="I1" s="71"/>
      <c r="J1" s="1"/>
    </row>
    <row r="2" spans="1:29" s="2" customFormat="1">
      <c r="A2" s="69" t="s">
        <v>1</v>
      </c>
      <c r="B2" s="70"/>
      <c r="C2" s="70"/>
      <c r="D2" s="70"/>
      <c r="E2" s="70"/>
      <c r="F2" s="71"/>
      <c r="G2" s="72" t="s">
        <v>2</v>
      </c>
      <c r="H2" s="73"/>
      <c r="I2" s="74"/>
      <c r="J2" s="1"/>
    </row>
    <row r="3" spans="1:29" s="6" customFormat="1">
      <c r="A3" s="3"/>
      <c r="B3" s="4"/>
      <c r="C3" s="4"/>
      <c r="D3" s="3"/>
      <c r="E3" s="5"/>
      <c r="F3" s="3"/>
      <c r="H3" s="13" t="s">
        <v>3</v>
      </c>
      <c r="I3" s="7"/>
      <c r="J3" s="3"/>
      <c r="M3" s="13" t="s">
        <v>4</v>
      </c>
      <c r="V3" s="64" t="s">
        <v>5</v>
      </c>
    </row>
    <row r="4" spans="1:29" s="13" customFormat="1">
      <c r="A4" s="8" t="s">
        <v>6</v>
      </c>
      <c r="B4" s="9" t="s">
        <v>7</v>
      </c>
      <c r="C4" s="9" t="s">
        <v>8</v>
      </c>
      <c r="D4" s="8" t="s">
        <v>9</v>
      </c>
      <c r="E4" s="10" t="s">
        <v>10</v>
      </c>
      <c r="F4" s="8" t="s">
        <v>11</v>
      </c>
      <c r="G4" s="8" t="s">
        <v>12</v>
      </c>
      <c r="H4" s="8" t="s">
        <v>13</v>
      </c>
      <c r="I4" s="11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11" t="s">
        <v>22</v>
      </c>
      <c r="R4" s="12" t="s">
        <v>23</v>
      </c>
      <c r="S4" s="11" t="s">
        <v>22</v>
      </c>
      <c r="T4" s="11" t="s">
        <v>24</v>
      </c>
      <c r="U4" s="11" t="s">
        <v>24</v>
      </c>
      <c r="V4" s="12" t="s">
        <v>25</v>
      </c>
      <c r="W4" s="8" t="s">
        <v>26</v>
      </c>
      <c r="X4" s="8" t="s">
        <v>27</v>
      </c>
      <c r="Y4" s="8" t="s">
        <v>28</v>
      </c>
      <c r="Z4" s="8" t="s">
        <v>29</v>
      </c>
      <c r="AA4" s="8" t="s">
        <v>30</v>
      </c>
      <c r="AB4" s="8" t="s">
        <v>31</v>
      </c>
      <c r="AC4" s="8" t="s">
        <v>32</v>
      </c>
    </row>
    <row r="5" spans="1:29" s="13" customFormat="1">
      <c r="B5" s="9" t="s">
        <v>33</v>
      </c>
      <c r="C5" s="9" t="s">
        <v>33</v>
      </c>
      <c r="D5" s="8" t="s">
        <v>34</v>
      </c>
      <c r="E5" s="10" t="s">
        <v>34</v>
      </c>
      <c r="F5" s="8" t="s">
        <v>33</v>
      </c>
      <c r="G5" s="8"/>
      <c r="H5" s="8" t="s">
        <v>35</v>
      </c>
      <c r="I5" s="11" t="s">
        <v>36</v>
      </c>
      <c r="J5" s="8" t="s">
        <v>37</v>
      </c>
      <c r="K5" s="8" t="s">
        <v>38</v>
      </c>
      <c r="L5" s="8"/>
      <c r="M5" s="14" t="s">
        <v>39</v>
      </c>
      <c r="N5" s="8" t="s">
        <v>38</v>
      </c>
      <c r="O5" s="8" t="s">
        <v>38</v>
      </c>
      <c r="P5" s="8" t="s">
        <v>38</v>
      </c>
      <c r="Q5" s="11" t="s">
        <v>40</v>
      </c>
      <c r="R5" s="11" t="s">
        <v>41</v>
      </c>
      <c r="S5" s="11" t="s">
        <v>42</v>
      </c>
      <c r="T5" s="11" t="s">
        <v>43</v>
      </c>
      <c r="U5" s="11" t="s">
        <v>44</v>
      </c>
      <c r="V5" s="11" t="s">
        <v>4</v>
      </c>
      <c r="W5" s="8" t="s">
        <v>45</v>
      </c>
      <c r="X5" s="8" t="s">
        <v>45</v>
      </c>
      <c r="AC5" s="15" t="s">
        <v>46</v>
      </c>
    </row>
    <row r="6" spans="1:29" s="13" customFormat="1">
      <c r="A6" s="41" t="s">
        <v>47</v>
      </c>
      <c r="B6" s="16">
        <v>2004</v>
      </c>
      <c r="C6" s="17" t="s">
        <v>48</v>
      </c>
      <c r="D6" s="8"/>
      <c r="E6" s="10" t="s">
        <v>49</v>
      </c>
      <c r="F6" s="8"/>
      <c r="G6" s="8"/>
      <c r="H6" s="8"/>
      <c r="I6" s="11"/>
      <c r="J6" s="8"/>
      <c r="K6" s="8"/>
      <c r="L6" s="8"/>
      <c r="M6" s="14"/>
      <c r="N6" s="8"/>
      <c r="O6" s="8"/>
      <c r="P6" s="8"/>
      <c r="Q6" s="11"/>
      <c r="R6" s="11"/>
      <c r="S6" s="11"/>
      <c r="T6" s="11"/>
      <c r="U6" s="11"/>
      <c r="V6" s="11"/>
      <c r="W6" s="8"/>
      <c r="X6" s="8"/>
      <c r="AC6" s="15"/>
    </row>
    <row r="7" spans="1:29" s="18" customFormat="1">
      <c r="A7" s="18" t="s">
        <v>50</v>
      </c>
      <c r="B7" s="19">
        <v>114</v>
      </c>
      <c r="C7" s="20">
        <v>3.87</v>
      </c>
      <c r="D7" s="21">
        <v>343</v>
      </c>
      <c r="E7" s="22">
        <v>0.1</v>
      </c>
      <c r="F7" s="21">
        <v>298.89999999999998</v>
      </c>
      <c r="G7" s="59">
        <f>B7/C7</f>
        <v>29.45736434108527</v>
      </c>
      <c r="H7" s="58">
        <f>(G7/(21150/D7))</f>
        <v>0.47772463210365235</v>
      </c>
      <c r="I7" s="23">
        <f>ROUND(Y7,3)</f>
        <v>9.2999999999999999E-2</v>
      </c>
      <c r="J7" s="21">
        <v>539</v>
      </c>
      <c r="K7" s="24">
        <f>ROUND((0.85*E7*W7+D7*X7)/1000,0)</f>
        <v>460</v>
      </c>
      <c r="L7" s="25">
        <f>F7/B7</f>
        <v>2.6219298245614033</v>
      </c>
      <c r="M7" s="24">
        <f>ROUND((E7*W7+D7*X7)/1000,0)</f>
        <v>460</v>
      </c>
      <c r="N7" s="24">
        <f>IF(E7&lt;1,M7,(ROUND((0.85*E7*W7+6*C7*D7*W7/(B7-2*C7))/1000,0)))</f>
        <v>460</v>
      </c>
      <c r="O7" s="24">
        <f>IF(E7&lt;1,M7,(ROUND(((AA7*D7*X7)+(E7*W7*(1+Z7*(C7/B7)*(D7/E7))))/1000,0)))</f>
        <v>460</v>
      </c>
      <c r="P7" s="24">
        <f>ROUND(AC7*O7,0)</f>
        <v>460</v>
      </c>
      <c r="Q7" s="26">
        <f>ROUND((J7/K7),2)</f>
        <v>1.17</v>
      </c>
      <c r="R7" s="26">
        <f>ROUND((J7/M7),2)</f>
        <v>1.17</v>
      </c>
      <c r="S7" s="26">
        <f>ROUND((J7/N7),2)</f>
        <v>1.17</v>
      </c>
      <c r="T7" s="26">
        <f>ROUND((J7/O7),3)</f>
        <v>1.1719999999999999</v>
      </c>
      <c r="U7" s="26">
        <f>ROUND((J7/P7),3)</f>
        <v>1.1719999999999999</v>
      </c>
      <c r="V7" s="25">
        <f>D7*X7/(1000*M7)</f>
        <v>0.99839563809124632</v>
      </c>
      <c r="W7" s="25">
        <f>0.785398*((B7-2*C7)^2)</f>
        <v>8868.0761586648005</v>
      </c>
      <c r="X7" s="25">
        <f>0.785398*(B7*B7-(B7-2*C7)*(B7-2*C7))</f>
        <v>1338.9562493351991</v>
      </c>
      <c r="Y7" s="25">
        <f>SQRT((64*M7*F7*F7)/(PI()^3*((B7^4-(B7-2*C7)^4)*200+5.7*(E7+8)^0.33333*((B7-2*C7)^4-H7^4))))</f>
        <v>9.3321302862862193E-2</v>
      </c>
      <c r="Z7" s="25">
        <f>IF((4.9-18.5*Y7+17*Y7*Y7)&lt;0,0,(4.9-18.5*Y7+17*Y7*Y7))</f>
        <v>3.3216066116934249</v>
      </c>
      <c r="AA7" s="25">
        <f>IF((0.25*(3+2*Y7))&gt;1,1,(0.25*(3+2*Y7)))</f>
        <v>0.79666065143143105</v>
      </c>
      <c r="AB7" s="24">
        <f>IF(Y7&lt;0.2,1,(1+0.158*SQRT(Y7*Y7-0.04)+Y7*Y7))</f>
        <v>1</v>
      </c>
      <c r="AC7" s="24">
        <f>IF(Y7&lt;0.2,1,(AB7-SQRT(AB7*AB7-4*Y7*Y7))/(2*Y7*Y7))</f>
        <v>1</v>
      </c>
    </row>
    <row r="8" spans="1:29">
      <c r="A8" s="27" t="s">
        <v>51</v>
      </c>
      <c r="B8">
        <v>115.04</v>
      </c>
      <c r="C8">
        <v>5.0199999999999996</v>
      </c>
      <c r="D8" s="21">
        <v>343</v>
      </c>
      <c r="E8">
        <v>0.1</v>
      </c>
      <c r="F8">
        <v>300</v>
      </c>
      <c r="G8" s="59">
        <f t="shared" ref="G8:G71" si="0">B8/C8</f>
        <v>22.916334661354586</v>
      </c>
      <c r="H8" s="58">
        <f t="shared" ref="H8:H71" si="1">(G8/(21150/D8))</f>
        <v>0.37164552193118783</v>
      </c>
      <c r="I8" s="23">
        <f t="shared" ref="I8:I71" si="2">ROUND(Y8,3)</f>
        <v>9.6000000000000002E-2</v>
      </c>
      <c r="J8">
        <v>805.8</v>
      </c>
      <c r="K8" s="24">
        <f t="shared" ref="K8:K31" si="3">ROUND((0.85*E8*W8+D8*X8)/1000,0)</f>
        <v>596</v>
      </c>
      <c r="L8" s="25">
        <f t="shared" ref="L8:L21" si="4">F8/B8</f>
        <v>2.6077885952712099</v>
      </c>
      <c r="M8" s="24">
        <f t="shared" ref="M8:M21" si="5">ROUND((E8*W8+D8*X8)/1000,0)</f>
        <v>596</v>
      </c>
      <c r="N8" s="24">
        <f t="shared" ref="N8:N31" si="6">IF(E8&lt;1,M8,(ROUND((0.85*E8*W8+6*C8*D8*W8/(B8-2*C8))/1000,0)))</f>
        <v>596</v>
      </c>
      <c r="O8" s="24">
        <f>IF(E8&lt;1,M8,(ROUND(((AA8*D8*X8)+(E8*W8*(1+Z8*(C8/B8)*(D8/E8))))/1000,0)))</f>
        <v>596</v>
      </c>
      <c r="P8" s="24">
        <f t="shared" ref="P8:P21" si="7">ROUND(AC8*O8,0)</f>
        <v>596</v>
      </c>
      <c r="Q8" s="26">
        <f t="shared" ref="Q8:Q21" si="8">ROUND((J8/K8),2)</f>
        <v>1.35</v>
      </c>
      <c r="R8" s="26">
        <f t="shared" ref="R8:R21" si="9">ROUND((J8/M8),2)</f>
        <v>1.35</v>
      </c>
      <c r="S8" s="26">
        <f t="shared" ref="S8:S21" si="10">ROUND((J8/N8),2)</f>
        <v>1.35</v>
      </c>
      <c r="T8" s="26">
        <f t="shared" ref="T8:T21" si="11">ROUND((J8/O8),3)</f>
        <v>1.3520000000000001</v>
      </c>
      <c r="U8" s="26">
        <f t="shared" ref="U8:U21" si="12">ROUND((J8/P8),3)</f>
        <v>1.3520000000000001</v>
      </c>
      <c r="V8" s="25">
        <f t="shared" ref="V8:V71" si="13">D8*X8/(1000*M8)</f>
        <v>0.99855732173695144</v>
      </c>
      <c r="W8" s="25">
        <f t="shared" ref="W8:W71" si="14">0.785398*((B8-2*C8)^2)</f>
        <v>8659.0129500000003</v>
      </c>
      <c r="X8" s="25">
        <f t="shared" ref="X8:X21" si="15">0.785398*(B8*B8-(B8-2*C8)*(B8-2*C8))</f>
        <v>1735.1025182368019</v>
      </c>
      <c r="Y8" s="25">
        <f t="shared" ref="Y8:Y21" si="16">SQRT((64*M8*F8*F8)/(PI()^3*((B8^4-(B8-2*C8)^4)*200+5.7*(E8+8)^0.33333*((B8-2*C8)^4-H8^4))))</f>
        <v>9.5617086869545356E-2</v>
      </c>
      <c r="Z8" s="25">
        <f t="shared" ref="Z8:Z71" si="17">IF((4.9-18.5*Y8+17*Y8*Y8)&lt;0,0,(4.9-18.5*Y8+17*Y8*Y8))</f>
        <v>3.2865085570375201</v>
      </c>
      <c r="AA8" s="25">
        <f t="shared" ref="AA8:AA21" si="18">IF((0.25*(3+2*Y8))&gt;1,1,(0.25*(3+2*Y8)))</f>
        <v>0.7978085434347727</v>
      </c>
      <c r="AB8" s="24">
        <f t="shared" ref="AB8:AB21" si="19">IF(Y8&lt;0.2,1,(1+0.158*SQRT(Y8*Y8-0.04)+Y8*Y8))</f>
        <v>1</v>
      </c>
      <c r="AC8" s="24">
        <f t="shared" ref="AC8:AC21" si="20">IF(Y8&lt;0.2,1,(AB8-SQRT(AB8*AB8-4*Y8*Y8))/(2*Y8*Y8))</f>
        <v>1</v>
      </c>
    </row>
    <row r="9" spans="1:29">
      <c r="A9" s="27" t="s">
        <v>52</v>
      </c>
      <c r="B9">
        <v>114.43</v>
      </c>
      <c r="C9">
        <v>3.98</v>
      </c>
      <c r="D9" s="21">
        <v>343</v>
      </c>
      <c r="E9">
        <v>25.1</v>
      </c>
      <c r="F9">
        <v>300</v>
      </c>
      <c r="G9" s="59">
        <f t="shared" si="0"/>
        <v>28.751256281407038</v>
      </c>
      <c r="H9" s="58">
        <f t="shared" si="1"/>
        <v>0.4662733288190361</v>
      </c>
      <c r="I9" s="23">
        <f t="shared" si="2"/>
        <v>0.109</v>
      </c>
      <c r="J9">
        <v>948</v>
      </c>
      <c r="K9" s="24">
        <f t="shared" si="3"/>
        <v>664</v>
      </c>
      <c r="L9" s="25">
        <f t="shared" si="4"/>
        <v>2.6216901162282618</v>
      </c>
      <c r="M9" s="24">
        <f t="shared" si="5"/>
        <v>697</v>
      </c>
      <c r="N9" s="24">
        <f t="shared" si="6"/>
        <v>875</v>
      </c>
      <c r="O9" s="24">
        <f>IF(E9&lt;1,M9,(ROUND(((AA9*D9*X9)+(E9*W9*(1+Z9*(C9/B9)*(D9/E9))))/1000,0)))</f>
        <v>933</v>
      </c>
      <c r="P9" s="24">
        <f t="shared" si="7"/>
        <v>933</v>
      </c>
      <c r="Q9" s="26">
        <f t="shared" si="8"/>
        <v>1.43</v>
      </c>
      <c r="R9" s="26">
        <f t="shared" si="9"/>
        <v>1.36</v>
      </c>
      <c r="S9" s="26">
        <f t="shared" si="10"/>
        <v>1.08</v>
      </c>
      <c r="T9" s="26">
        <f t="shared" si="11"/>
        <v>1.016</v>
      </c>
      <c r="U9" s="26">
        <f t="shared" si="12"/>
        <v>1.016</v>
      </c>
      <c r="V9" s="25">
        <f t="shared" si="13"/>
        <v>0.67961024407904658</v>
      </c>
      <c r="W9" s="25">
        <f t="shared" si="14"/>
        <v>8903.1624791382037</v>
      </c>
      <c r="X9" s="25">
        <f t="shared" si="15"/>
        <v>1381.0155688719983</v>
      </c>
      <c r="Y9" s="25">
        <f t="shared" si="16"/>
        <v>0.10877573727264064</v>
      </c>
      <c r="Z9" s="25">
        <f t="shared" si="17"/>
        <v>3.08879559778266</v>
      </c>
      <c r="AA9" s="25">
        <f t="shared" si="18"/>
        <v>0.80438786863632028</v>
      </c>
      <c r="AB9" s="24">
        <f t="shared" si="19"/>
        <v>1</v>
      </c>
      <c r="AC9" s="24">
        <f t="shared" si="20"/>
        <v>1</v>
      </c>
    </row>
    <row r="10" spans="1:29">
      <c r="A10" s="27" t="s">
        <v>53</v>
      </c>
      <c r="B10">
        <v>114.57</v>
      </c>
      <c r="C10">
        <v>3.99</v>
      </c>
      <c r="D10" s="21">
        <v>343</v>
      </c>
      <c r="E10">
        <v>74.900000000000006</v>
      </c>
      <c r="F10">
        <v>300</v>
      </c>
      <c r="G10" s="59">
        <f t="shared" si="0"/>
        <v>28.714285714285712</v>
      </c>
      <c r="H10" s="58">
        <f t="shared" si="1"/>
        <v>0.46567375886524814</v>
      </c>
      <c r="I10" s="23">
        <f t="shared" si="2"/>
        <v>0.13400000000000001</v>
      </c>
      <c r="J10">
        <v>1308</v>
      </c>
      <c r="K10" s="24">
        <f t="shared" si="3"/>
        <v>1044</v>
      </c>
      <c r="L10" s="25">
        <f t="shared" si="4"/>
        <v>2.6184865147944492</v>
      </c>
      <c r="M10" s="24">
        <f t="shared" si="5"/>
        <v>1144</v>
      </c>
      <c r="N10" s="24">
        <f t="shared" si="6"/>
        <v>1256</v>
      </c>
      <c r="O10" s="24">
        <f t="shared" ref="O10:O73" si="21">IF(E10&lt;1,M10,(ROUND(((AA10*D10*X10)+(E10*W10*(1+Z10*(C10/B10)*(D10/E10))))/1000,0)))</f>
        <v>1347</v>
      </c>
      <c r="P10" s="24">
        <f t="shared" si="7"/>
        <v>1347</v>
      </c>
      <c r="Q10" s="26">
        <f t="shared" si="8"/>
        <v>1.25</v>
      </c>
      <c r="R10" s="26">
        <f t="shared" si="9"/>
        <v>1.1399999999999999</v>
      </c>
      <c r="S10" s="26">
        <f t="shared" si="10"/>
        <v>1.04</v>
      </c>
      <c r="T10" s="26">
        <f t="shared" si="11"/>
        <v>0.97099999999999997</v>
      </c>
      <c r="U10" s="26">
        <f t="shared" si="12"/>
        <v>0.97099999999999997</v>
      </c>
      <c r="V10" s="25">
        <f t="shared" si="13"/>
        <v>0.41559217250454161</v>
      </c>
      <c r="W10" s="25">
        <f t="shared" si="14"/>
        <v>8923.2429068837992</v>
      </c>
      <c r="X10" s="25">
        <f t="shared" si="15"/>
        <v>1386.1150010064011</v>
      </c>
      <c r="Y10" s="25">
        <f t="shared" si="16"/>
        <v>0.13390939229280638</v>
      </c>
      <c r="Z10" s="25">
        <f t="shared" si="17"/>
        <v>2.7275155734349705</v>
      </c>
      <c r="AA10" s="25">
        <f t="shared" si="18"/>
        <v>0.81695469614640315</v>
      </c>
      <c r="AB10" s="24">
        <f t="shared" si="19"/>
        <v>1</v>
      </c>
      <c r="AC10" s="24">
        <f t="shared" si="20"/>
        <v>1</v>
      </c>
    </row>
    <row r="11" spans="1:29">
      <c r="A11" s="27" t="s">
        <v>54</v>
      </c>
      <c r="B11">
        <v>114.43</v>
      </c>
      <c r="C11">
        <v>3.82</v>
      </c>
      <c r="D11" s="21">
        <v>343</v>
      </c>
      <c r="E11">
        <v>27.8</v>
      </c>
      <c r="F11">
        <v>300</v>
      </c>
      <c r="G11" s="59">
        <f t="shared" si="0"/>
        <v>29.955497382198956</v>
      </c>
      <c r="H11" s="58">
        <f t="shared" si="1"/>
        <v>0.48580310175386487</v>
      </c>
      <c r="I11" s="23">
        <f t="shared" si="2"/>
        <v>0.11</v>
      </c>
      <c r="J11">
        <v>929</v>
      </c>
      <c r="K11" s="24">
        <f t="shared" si="3"/>
        <v>667</v>
      </c>
      <c r="L11" s="25">
        <f t="shared" si="4"/>
        <v>2.6216901162282618</v>
      </c>
      <c r="M11" s="24">
        <f t="shared" si="5"/>
        <v>704</v>
      </c>
      <c r="N11" s="24">
        <f t="shared" si="6"/>
        <v>871</v>
      </c>
      <c r="O11" s="24">
        <f t="shared" si="21"/>
        <v>930</v>
      </c>
      <c r="P11" s="24">
        <f t="shared" si="7"/>
        <v>930</v>
      </c>
      <c r="Q11" s="26">
        <f t="shared" si="8"/>
        <v>1.39</v>
      </c>
      <c r="R11" s="26">
        <f t="shared" si="9"/>
        <v>1.32</v>
      </c>
      <c r="S11" s="26">
        <f t="shared" si="10"/>
        <v>1.07</v>
      </c>
      <c r="T11" s="26">
        <f t="shared" si="11"/>
        <v>0.999</v>
      </c>
      <c r="U11" s="26">
        <f t="shared" si="12"/>
        <v>0.999</v>
      </c>
      <c r="V11" s="25">
        <f t="shared" si="13"/>
        <v>0.64673892209501616</v>
      </c>
      <c r="W11" s="25">
        <f t="shared" si="14"/>
        <v>8956.7605519318004</v>
      </c>
      <c r="X11" s="25">
        <f t="shared" si="15"/>
        <v>1327.4174960784005</v>
      </c>
      <c r="Y11" s="25">
        <f t="shared" si="16"/>
        <v>0.11043085730283798</v>
      </c>
      <c r="Z11" s="25">
        <f t="shared" si="17"/>
        <v>3.064343702056374</v>
      </c>
      <c r="AA11" s="25">
        <f t="shared" si="18"/>
        <v>0.80521542865141904</v>
      </c>
      <c r="AB11" s="24">
        <f t="shared" si="19"/>
        <v>1</v>
      </c>
      <c r="AC11" s="24">
        <f t="shared" si="20"/>
        <v>1</v>
      </c>
    </row>
    <row r="12" spans="1:29">
      <c r="A12" s="27" t="s">
        <v>55</v>
      </c>
      <c r="B12">
        <v>114.26</v>
      </c>
      <c r="C12">
        <v>3.93</v>
      </c>
      <c r="D12" s="21">
        <v>343</v>
      </c>
      <c r="E12">
        <v>77.8</v>
      </c>
      <c r="F12">
        <v>300</v>
      </c>
      <c r="G12" s="59">
        <f t="shared" si="0"/>
        <v>29.073791348600508</v>
      </c>
      <c r="H12" s="58">
        <f t="shared" si="1"/>
        <v>0.47150403936501056</v>
      </c>
      <c r="I12" s="23">
        <f t="shared" si="2"/>
        <v>0.13600000000000001</v>
      </c>
      <c r="J12">
        <v>1359</v>
      </c>
      <c r="K12" s="24">
        <f t="shared" si="3"/>
        <v>1055</v>
      </c>
      <c r="L12" s="25">
        <f t="shared" si="4"/>
        <v>2.625590757920532</v>
      </c>
      <c r="M12" s="24">
        <f t="shared" si="5"/>
        <v>1159</v>
      </c>
      <c r="N12" s="24">
        <f t="shared" si="6"/>
        <v>1264</v>
      </c>
      <c r="O12" s="24">
        <f t="shared" si="21"/>
        <v>1357</v>
      </c>
      <c r="P12" s="24">
        <f t="shared" si="7"/>
        <v>1357</v>
      </c>
      <c r="Q12" s="26">
        <f t="shared" si="8"/>
        <v>1.29</v>
      </c>
      <c r="R12" s="26">
        <f t="shared" si="9"/>
        <v>1.17</v>
      </c>
      <c r="S12" s="26">
        <f t="shared" si="10"/>
        <v>1.08</v>
      </c>
      <c r="T12" s="26">
        <f t="shared" si="11"/>
        <v>1.0009999999999999</v>
      </c>
      <c r="U12" s="26">
        <f t="shared" si="12"/>
        <v>1.0009999999999999</v>
      </c>
      <c r="V12" s="25">
        <f t="shared" si="13"/>
        <v>0.40313140761589855</v>
      </c>
      <c r="W12" s="25">
        <f t="shared" si="14"/>
        <v>8891.4593420800011</v>
      </c>
      <c r="X12" s="25">
        <f t="shared" si="15"/>
        <v>1362.1845522648</v>
      </c>
      <c r="Y12" s="25">
        <f t="shared" si="16"/>
        <v>0.1357846792135724</v>
      </c>
      <c r="Z12" s="25">
        <f t="shared" si="17"/>
        <v>2.7014205794041679</v>
      </c>
      <c r="AA12" s="25">
        <f t="shared" si="18"/>
        <v>0.8178923396067862</v>
      </c>
      <c r="AB12" s="24">
        <f t="shared" si="19"/>
        <v>1</v>
      </c>
      <c r="AC12" s="24">
        <f t="shared" si="20"/>
        <v>1</v>
      </c>
    </row>
    <row r="13" spans="1:29">
      <c r="A13" s="27" t="s">
        <v>56</v>
      </c>
      <c r="B13">
        <v>114.88</v>
      </c>
      <c r="C13">
        <v>4.91</v>
      </c>
      <c r="D13" s="21">
        <v>343</v>
      </c>
      <c r="E13">
        <v>27.8</v>
      </c>
      <c r="F13">
        <v>300.5</v>
      </c>
      <c r="G13" s="59">
        <f t="shared" si="0"/>
        <v>23.397148676171078</v>
      </c>
      <c r="H13" s="58">
        <f t="shared" si="1"/>
        <v>0.37944312037478389</v>
      </c>
      <c r="I13" s="42">
        <f t="shared" si="2"/>
        <v>0.11</v>
      </c>
      <c r="J13">
        <v>1380</v>
      </c>
      <c r="K13" s="24">
        <f t="shared" si="3"/>
        <v>787</v>
      </c>
      <c r="L13" s="25">
        <f t="shared" si="4"/>
        <v>2.6157729805013927</v>
      </c>
      <c r="M13" s="24">
        <f t="shared" si="5"/>
        <v>823</v>
      </c>
      <c r="N13" s="24">
        <f t="shared" si="6"/>
        <v>1039</v>
      </c>
      <c r="O13" s="24">
        <f t="shared" si="21"/>
        <v>1100</v>
      </c>
      <c r="P13" s="24">
        <f t="shared" si="7"/>
        <v>1100</v>
      </c>
      <c r="Q13" s="26">
        <f t="shared" si="8"/>
        <v>1.75</v>
      </c>
      <c r="R13" s="26">
        <f t="shared" si="9"/>
        <v>1.68</v>
      </c>
      <c r="S13" s="26">
        <f t="shared" si="10"/>
        <v>1.33</v>
      </c>
      <c r="T13" s="26">
        <f t="shared" si="11"/>
        <v>1.2549999999999999</v>
      </c>
      <c r="U13" s="26">
        <f t="shared" si="12"/>
        <v>1.2549999999999999</v>
      </c>
      <c r="V13" s="25">
        <f t="shared" si="13"/>
        <v>0.70696804540164171</v>
      </c>
      <c r="W13" s="25">
        <f t="shared" si="14"/>
        <v>8668.9117922328005</v>
      </c>
      <c r="X13" s="25">
        <f t="shared" si="15"/>
        <v>1696.3110826983996</v>
      </c>
      <c r="Y13" s="25">
        <f t="shared" si="16"/>
        <v>0.10965559012714383</v>
      </c>
      <c r="Z13" s="25">
        <f t="shared" si="17"/>
        <v>3.0757855062320858</v>
      </c>
      <c r="AA13" s="25">
        <f t="shared" si="18"/>
        <v>0.80482779506357194</v>
      </c>
      <c r="AB13" s="24">
        <f t="shared" si="19"/>
        <v>1</v>
      </c>
      <c r="AC13" s="24">
        <f t="shared" si="20"/>
        <v>1</v>
      </c>
    </row>
    <row r="14" spans="1:29">
      <c r="A14" s="27" t="s">
        <v>57</v>
      </c>
      <c r="B14">
        <v>115.04</v>
      </c>
      <c r="C14">
        <v>4.92</v>
      </c>
      <c r="D14" s="21">
        <v>343</v>
      </c>
      <c r="E14">
        <v>83.9</v>
      </c>
      <c r="F14">
        <v>300</v>
      </c>
      <c r="G14" s="59">
        <f t="shared" si="0"/>
        <v>23.382113821138212</v>
      </c>
      <c r="H14" s="58">
        <f t="shared" si="1"/>
        <v>0.37919929270214686</v>
      </c>
      <c r="I14" s="23">
        <f t="shared" si="2"/>
        <v>0.13400000000000001</v>
      </c>
      <c r="J14">
        <v>1787</v>
      </c>
      <c r="K14" s="24">
        <f t="shared" si="3"/>
        <v>1204</v>
      </c>
      <c r="L14" s="25">
        <f t="shared" si="4"/>
        <v>2.6077885952712099</v>
      </c>
      <c r="M14" s="24">
        <f t="shared" si="5"/>
        <v>1313</v>
      </c>
      <c r="N14" s="24">
        <f t="shared" si="6"/>
        <v>1456</v>
      </c>
      <c r="O14" s="24">
        <f t="shared" si="21"/>
        <v>1555</v>
      </c>
      <c r="P14" s="24">
        <f t="shared" si="7"/>
        <v>1555</v>
      </c>
      <c r="Q14" s="26">
        <f t="shared" si="8"/>
        <v>1.48</v>
      </c>
      <c r="R14" s="26">
        <f t="shared" si="9"/>
        <v>1.36</v>
      </c>
      <c r="S14" s="26">
        <f t="shared" si="10"/>
        <v>1.23</v>
      </c>
      <c r="T14" s="26">
        <f t="shared" si="11"/>
        <v>1.149</v>
      </c>
      <c r="U14" s="26">
        <f t="shared" si="12"/>
        <v>1.149</v>
      </c>
      <c r="V14" s="25">
        <f t="shared" si="13"/>
        <v>0.44464199886265254</v>
      </c>
      <c r="W14" s="25">
        <f t="shared" si="14"/>
        <v>8692.0310819200004</v>
      </c>
      <c r="X14" s="25">
        <f t="shared" si="15"/>
        <v>1702.0843863168011</v>
      </c>
      <c r="Y14" s="25">
        <f t="shared" si="16"/>
        <v>0.1335125871128513</v>
      </c>
      <c r="Z14" s="25">
        <f t="shared" si="17"/>
        <v>2.7330525240108852</v>
      </c>
      <c r="AA14" s="25">
        <f t="shared" si="18"/>
        <v>0.81675629355642565</v>
      </c>
      <c r="AB14" s="24">
        <f t="shared" si="19"/>
        <v>1</v>
      </c>
      <c r="AC14" s="24">
        <f t="shared" si="20"/>
        <v>1</v>
      </c>
    </row>
    <row r="15" spans="1:29">
      <c r="A15" s="27" t="s">
        <v>58</v>
      </c>
      <c r="B15">
        <v>115.02</v>
      </c>
      <c r="C15">
        <v>5.0199999999999996</v>
      </c>
      <c r="D15" s="21">
        <v>343</v>
      </c>
      <c r="E15">
        <v>46.1</v>
      </c>
      <c r="F15">
        <v>300.5</v>
      </c>
      <c r="G15" s="59">
        <f t="shared" si="0"/>
        <v>22.912350597609564</v>
      </c>
      <c r="H15" s="58">
        <f t="shared" si="1"/>
        <v>0.37158091040094943</v>
      </c>
      <c r="I15" s="23">
        <f t="shared" si="2"/>
        <v>0.11799999999999999</v>
      </c>
      <c r="J15">
        <v>1413</v>
      </c>
      <c r="K15" s="24">
        <f t="shared" si="3"/>
        <v>934</v>
      </c>
      <c r="L15" s="25">
        <f t="shared" si="4"/>
        <v>2.612589114936533</v>
      </c>
      <c r="M15" s="24">
        <f t="shared" si="5"/>
        <v>994</v>
      </c>
      <c r="N15" s="24">
        <f t="shared" si="6"/>
        <v>1191</v>
      </c>
      <c r="O15" s="24">
        <f t="shared" si="21"/>
        <v>1263</v>
      </c>
      <c r="P15" s="24">
        <f t="shared" si="7"/>
        <v>1263</v>
      </c>
      <c r="Q15" s="26">
        <f t="shared" si="8"/>
        <v>1.51</v>
      </c>
      <c r="R15" s="26">
        <f t="shared" si="9"/>
        <v>1.42</v>
      </c>
      <c r="S15" s="26">
        <f t="shared" si="10"/>
        <v>1.19</v>
      </c>
      <c r="T15" s="26">
        <f t="shared" si="11"/>
        <v>1.119</v>
      </c>
      <c r="U15" s="26">
        <f t="shared" si="12"/>
        <v>1.119</v>
      </c>
      <c r="V15" s="25">
        <f t="shared" si="13"/>
        <v>0.59862371843380324</v>
      </c>
      <c r="W15" s="25">
        <f t="shared" si="14"/>
        <v>8655.7145925591994</v>
      </c>
      <c r="X15" s="25">
        <f t="shared" si="15"/>
        <v>1734.787102400001</v>
      </c>
      <c r="Y15" s="25">
        <f t="shared" si="16"/>
        <v>0.11788759347990595</v>
      </c>
      <c r="Z15" s="25">
        <f t="shared" si="17"/>
        <v>2.9553367604619609</v>
      </c>
      <c r="AA15" s="25">
        <f t="shared" si="18"/>
        <v>0.80894379673995298</v>
      </c>
      <c r="AB15" s="24">
        <f t="shared" si="19"/>
        <v>1</v>
      </c>
      <c r="AC15" s="24">
        <f t="shared" si="20"/>
        <v>1</v>
      </c>
    </row>
    <row r="16" spans="1:29">
      <c r="A16" s="27" t="s">
        <v>59</v>
      </c>
      <c r="B16">
        <v>114.49</v>
      </c>
      <c r="C16">
        <v>3.75</v>
      </c>
      <c r="D16" s="21">
        <v>343</v>
      </c>
      <c r="E16">
        <v>46.1</v>
      </c>
      <c r="F16">
        <v>299.3</v>
      </c>
      <c r="G16" s="59">
        <f t="shared" si="0"/>
        <v>30.530666666666665</v>
      </c>
      <c r="H16" s="58">
        <f t="shared" si="1"/>
        <v>0.49513090622537426</v>
      </c>
      <c r="I16" s="23">
        <f t="shared" si="2"/>
        <v>0.12</v>
      </c>
      <c r="J16">
        <v>1038</v>
      </c>
      <c r="K16" s="24">
        <f t="shared" si="3"/>
        <v>800</v>
      </c>
      <c r="L16" s="25">
        <f t="shared" si="4"/>
        <v>2.6142021137217228</v>
      </c>
      <c r="M16" s="24">
        <f t="shared" si="5"/>
        <v>862</v>
      </c>
      <c r="N16" s="24">
        <f t="shared" si="6"/>
        <v>1001</v>
      </c>
      <c r="O16" s="24">
        <f t="shared" si="21"/>
        <v>1072</v>
      </c>
      <c r="P16" s="24">
        <f t="shared" si="7"/>
        <v>1072</v>
      </c>
      <c r="Q16" s="26">
        <f t="shared" si="8"/>
        <v>1.3</v>
      </c>
      <c r="R16" s="26">
        <f t="shared" si="9"/>
        <v>1.2</v>
      </c>
      <c r="S16" s="26">
        <f t="shared" si="10"/>
        <v>1.04</v>
      </c>
      <c r="T16" s="26">
        <f t="shared" si="11"/>
        <v>0.96799999999999997</v>
      </c>
      <c r="U16" s="26">
        <f t="shared" si="12"/>
        <v>0.96799999999999997</v>
      </c>
      <c r="V16" s="25">
        <f t="shared" si="13"/>
        <v>0.51912557297610218</v>
      </c>
      <c r="W16" s="25">
        <f t="shared" si="14"/>
        <v>8990.3410288197992</v>
      </c>
      <c r="X16" s="25">
        <f t="shared" si="15"/>
        <v>1304.6246178000004</v>
      </c>
      <c r="Y16" s="25">
        <f t="shared" si="16"/>
        <v>0.12046990905350845</v>
      </c>
      <c r="Z16" s="25">
        <f t="shared" si="17"/>
        <v>2.9180276652952242</v>
      </c>
      <c r="AA16" s="25">
        <f t="shared" si="18"/>
        <v>0.8102349545267542</v>
      </c>
      <c r="AB16" s="24">
        <f t="shared" si="19"/>
        <v>1</v>
      </c>
      <c r="AC16" s="24">
        <f t="shared" si="20"/>
        <v>1</v>
      </c>
    </row>
    <row r="17" spans="1:29">
      <c r="A17" s="27" t="s">
        <v>60</v>
      </c>
      <c r="B17">
        <v>114.29</v>
      </c>
      <c r="C17">
        <v>3.75</v>
      </c>
      <c r="D17" s="21">
        <v>343</v>
      </c>
      <c r="E17">
        <v>46.1</v>
      </c>
      <c r="F17">
        <v>300</v>
      </c>
      <c r="G17" s="59">
        <f t="shared" si="0"/>
        <v>30.477333333333334</v>
      </c>
      <c r="H17" s="58">
        <f t="shared" si="1"/>
        <v>0.4942659732072498</v>
      </c>
      <c r="I17" s="23">
        <f t="shared" si="2"/>
        <v>0.121</v>
      </c>
      <c r="J17">
        <v>1067</v>
      </c>
      <c r="K17" s="24">
        <f t="shared" si="3"/>
        <v>798</v>
      </c>
      <c r="L17" s="25">
        <f t="shared" si="4"/>
        <v>2.6249015661912676</v>
      </c>
      <c r="M17" s="24">
        <f t="shared" si="5"/>
        <v>860</v>
      </c>
      <c r="N17" s="24">
        <f t="shared" si="6"/>
        <v>998</v>
      </c>
      <c r="O17" s="24">
        <f t="shared" si="21"/>
        <v>1068</v>
      </c>
      <c r="P17" s="24">
        <f t="shared" si="7"/>
        <v>1068</v>
      </c>
      <c r="Q17" s="26">
        <f t="shared" si="8"/>
        <v>1.34</v>
      </c>
      <c r="R17" s="26">
        <f t="shared" si="9"/>
        <v>1.24</v>
      </c>
      <c r="S17" s="26">
        <f t="shared" si="10"/>
        <v>1.07</v>
      </c>
      <c r="T17" s="26">
        <f t="shared" si="11"/>
        <v>0.999</v>
      </c>
      <c r="U17" s="26">
        <f t="shared" si="12"/>
        <v>0.999</v>
      </c>
      <c r="V17" s="25">
        <f t="shared" si="13"/>
        <v>0.51939310391093041</v>
      </c>
      <c r="W17" s="25">
        <f t="shared" si="14"/>
        <v>8956.7605519318004</v>
      </c>
      <c r="X17" s="25">
        <f t="shared" si="15"/>
        <v>1302.2684238000004</v>
      </c>
      <c r="Y17" s="25">
        <f t="shared" si="16"/>
        <v>0.12097083338707552</v>
      </c>
      <c r="Z17" s="25">
        <f t="shared" si="17"/>
        <v>2.9108166053552842</v>
      </c>
      <c r="AA17" s="25">
        <f t="shared" si="18"/>
        <v>0.8104854166935378</v>
      </c>
      <c r="AB17" s="24">
        <f t="shared" si="19"/>
        <v>1</v>
      </c>
      <c r="AC17" s="24">
        <f t="shared" si="20"/>
        <v>1</v>
      </c>
    </row>
    <row r="18" spans="1:29">
      <c r="A18" s="27" t="s">
        <v>61</v>
      </c>
      <c r="B18">
        <v>114.3</v>
      </c>
      <c r="C18">
        <v>3.85</v>
      </c>
      <c r="D18" s="21">
        <v>343</v>
      </c>
      <c r="E18">
        <v>25.5</v>
      </c>
      <c r="F18">
        <v>300</v>
      </c>
      <c r="G18" s="59">
        <f t="shared" si="0"/>
        <v>29.688311688311686</v>
      </c>
      <c r="H18" s="58">
        <f t="shared" si="1"/>
        <v>0.48147001934235972</v>
      </c>
      <c r="I18" s="23">
        <f t="shared" si="2"/>
        <v>0.109</v>
      </c>
      <c r="J18">
        <v>998</v>
      </c>
      <c r="K18" s="24">
        <f t="shared" si="3"/>
        <v>652</v>
      </c>
      <c r="L18" s="25">
        <f t="shared" si="4"/>
        <v>2.6246719160104988</v>
      </c>
      <c r="M18" s="24">
        <f t="shared" si="5"/>
        <v>686</v>
      </c>
      <c r="N18" s="24">
        <f t="shared" si="6"/>
        <v>857</v>
      </c>
      <c r="O18" s="24">
        <f t="shared" si="21"/>
        <v>914</v>
      </c>
      <c r="P18" s="24">
        <f t="shared" si="7"/>
        <v>914</v>
      </c>
      <c r="Q18" s="26">
        <f t="shared" si="8"/>
        <v>1.53</v>
      </c>
      <c r="R18" s="26">
        <f t="shared" si="9"/>
        <v>1.45</v>
      </c>
      <c r="S18" s="26">
        <f t="shared" si="10"/>
        <v>1.1599999999999999</v>
      </c>
      <c r="T18" s="26">
        <f t="shared" si="11"/>
        <v>1.0920000000000001</v>
      </c>
      <c r="U18" s="26">
        <f t="shared" si="12"/>
        <v>1.0920000000000001</v>
      </c>
      <c r="V18" s="25">
        <f t="shared" si="13"/>
        <v>0.66795351007000014</v>
      </c>
      <c r="W18" s="25">
        <f t="shared" si="14"/>
        <v>8924.9172968799994</v>
      </c>
      <c r="X18" s="25">
        <f t="shared" si="15"/>
        <v>1335.9070201400002</v>
      </c>
      <c r="Y18" s="25">
        <f t="shared" si="16"/>
        <v>0.10922093452200238</v>
      </c>
      <c r="Z18" s="25">
        <f t="shared" si="17"/>
        <v>3.0822093244865685</v>
      </c>
      <c r="AA18" s="25">
        <f t="shared" si="18"/>
        <v>0.80461046726100116</v>
      </c>
      <c r="AB18" s="24">
        <f t="shared" si="19"/>
        <v>1</v>
      </c>
      <c r="AC18" s="24">
        <f t="shared" si="20"/>
        <v>1</v>
      </c>
    </row>
    <row r="19" spans="1:29">
      <c r="A19" s="27" t="s">
        <v>62</v>
      </c>
      <c r="B19">
        <v>114.09</v>
      </c>
      <c r="C19">
        <v>3.85</v>
      </c>
      <c r="D19" s="21">
        <v>343</v>
      </c>
      <c r="E19">
        <v>25.5</v>
      </c>
      <c r="F19">
        <v>300.5</v>
      </c>
      <c r="G19" s="59">
        <f t="shared" si="0"/>
        <v>29.633766233766234</v>
      </c>
      <c r="H19" s="58">
        <f t="shared" si="1"/>
        <v>0.48058542875564153</v>
      </c>
      <c r="I19" s="23">
        <f t="shared" si="2"/>
        <v>0.11</v>
      </c>
      <c r="J19">
        <v>948</v>
      </c>
      <c r="K19" s="24">
        <f t="shared" si="3"/>
        <v>650</v>
      </c>
      <c r="L19" s="25">
        <f t="shared" si="4"/>
        <v>2.6338855289683583</v>
      </c>
      <c r="M19" s="24">
        <f t="shared" si="5"/>
        <v>684</v>
      </c>
      <c r="N19" s="24">
        <f t="shared" si="6"/>
        <v>855</v>
      </c>
      <c r="O19" s="24">
        <f t="shared" si="21"/>
        <v>911</v>
      </c>
      <c r="P19" s="24">
        <f t="shared" si="7"/>
        <v>911</v>
      </c>
      <c r="Q19" s="26">
        <f t="shared" si="8"/>
        <v>1.46</v>
      </c>
      <c r="R19" s="26">
        <f t="shared" si="9"/>
        <v>1.39</v>
      </c>
      <c r="S19" s="26">
        <f t="shared" si="10"/>
        <v>1.1100000000000001</v>
      </c>
      <c r="T19" s="26">
        <f t="shared" si="11"/>
        <v>1.0409999999999999</v>
      </c>
      <c r="U19" s="26">
        <f t="shared" si="12"/>
        <v>1.0409999999999999</v>
      </c>
      <c r="V19" s="25">
        <f t="shared" si="13"/>
        <v>0.66863288852594227</v>
      </c>
      <c r="W19" s="25">
        <f t="shared" si="14"/>
        <v>8889.7880936758011</v>
      </c>
      <c r="X19" s="25">
        <f t="shared" si="15"/>
        <v>1333.3670430080015</v>
      </c>
      <c r="Y19" s="25">
        <f t="shared" si="16"/>
        <v>0.10958196040860378</v>
      </c>
      <c r="Z19" s="25">
        <f t="shared" si="17"/>
        <v>3.0768732352397081</v>
      </c>
      <c r="AA19" s="25">
        <f t="shared" si="18"/>
        <v>0.80479098020430184</v>
      </c>
      <c r="AB19" s="24">
        <f t="shared" si="19"/>
        <v>1</v>
      </c>
      <c r="AC19" s="24">
        <f t="shared" si="20"/>
        <v>1</v>
      </c>
    </row>
    <row r="20" spans="1:29">
      <c r="A20" s="27" t="s">
        <v>63</v>
      </c>
      <c r="B20">
        <v>114.54</v>
      </c>
      <c r="C20">
        <v>3.84</v>
      </c>
      <c r="D20" s="21">
        <v>343</v>
      </c>
      <c r="E20">
        <v>79.099999999999994</v>
      </c>
      <c r="F20">
        <v>300</v>
      </c>
      <c r="G20" s="59">
        <f t="shared" si="0"/>
        <v>29.828125000000004</v>
      </c>
      <c r="H20" s="58">
        <f t="shared" si="1"/>
        <v>0.48373744089834519</v>
      </c>
      <c r="I20" s="23">
        <f t="shared" si="2"/>
        <v>0.13600000000000001</v>
      </c>
      <c r="J20">
        <v>1359</v>
      </c>
      <c r="K20" s="24">
        <f t="shared" si="3"/>
        <v>1061</v>
      </c>
      <c r="L20" s="25">
        <f t="shared" si="4"/>
        <v>2.6191723415400734</v>
      </c>
      <c r="M20" s="24">
        <f t="shared" si="5"/>
        <v>1167</v>
      </c>
      <c r="N20" s="24">
        <f t="shared" si="6"/>
        <v>1266</v>
      </c>
      <c r="O20" s="24">
        <f t="shared" si="21"/>
        <v>1362</v>
      </c>
      <c r="P20" s="24">
        <f t="shared" si="7"/>
        <v>1362</v>
      </c>
      <c r="Q20" s="26">
        <f t="shared" si="8"/>
        <v>1.28</v>
      </c>
      <c r="R20" s="26">
        <f t="shared" si="9"/>
        <v>1.1599999999999999</v>
      </c>
      <c r="S20" s="26">
        <f t="shared" si="10"/>
        <v>1.07</v>
      </c>
      <c r="T20" s="26">
        <f t="shared" si="11"/>
        <v>0.998</v>
      </c>
      <c r="U20" s="26">
        <f t="shared" si="12"/>
        <v>0.998</v>
      </c>
      <c r="V20" s="25">
        <f t="shared" si="13"/>
        <v>0.3925110536528944</v>
      </c>
      <c r="W20" s="25">
        <f t="shared" si="14"/>
        <v>8968.5065717208017</v>
      </c>
      <c r="X20" s="25">
        <f t="shared" si="15"/>
        <v>1335.4530600959993</v>
      </c>
      <c r="Y20" s="25">
        <f t="shared" si="16"/>
        <v>0.13647608273540243</v>
      </c>
      <c r="Z20" s="25">
        <f t="shared" si="17"/>
        <v>2.6918297290946622</v>
      </c>
      <c r="AA20" s="25">
        <f t="shared" si="18"/>
        <v>0.81823804136770117</v>
      </c>
      <c r="AB20" s="24">
        <f t="shared" si="19"/>
        <v>1</v>
      </c>
      <c r="AC20" s="24">
        <f t="shared" si="20"/>
        <v>1</v>
      </c>
    </row>
    <row r="21" spans="1:29">
      <c r="A21" s="27" t="s">
        <v>64</v>
      </c>
      <c r="B21">
        <v>114.37</v>
      </c>
      <c r="C21">
        <v>3.85</v>
      </c>
      <c r="D21" s="21">
        <v>343</v>
      </c>
      <c r="E21">
        <v>79.099999999999994</v>
      </c>
      <c r="F21">
        <v>299.5</v>
      </c>
      <c r="G21" s="59">
        <f t="shared" si="0"/>
        <v>29.706493506493509</v>
      </c>
      <c r="H21" s="58">
        <f t="shared" si="1"/>
        <v>0.48176488287126584</v>
      </c>
      <c r="I21" s="23">
        <f t="shared" si="2"/>
        <v>0.13600000000000001</v>
      </c>
      <c r="J21">
        <v>1182</v>
      </c>
      <c r="K21" s="24">
        <f t="shared" si="3"/>
        <v>1059</v>
      </c>
      <c r="L21" s="25">
        <f t="shared" si="4"/>
        <v>2.6186937133863775</v>
      </c>
      <c r="M21" s="24">
        <f t="shared" si="5"/>
        <v>1165</v>
      </c>
      <c r="N21" s="24">
        <f t="shared" si="6"/>
        <v>1265</v>
      </c>
      <c r="O21" s="24">
        <f t="shared" si="21"/>
        <v>1360</v>
      </c>
      <c r="P21" s="24">
        <f t="shared" si="7"/>
        <v>1360</v>
      </c>
      <c r="Q21" s="26">
        <f t="shared" si="8"/>
        <v>1.1200000000000001</v>
      </c>
      <c r="R21" s="26">
        <f t="shared" si="9"/>
        <v>1.01</v>
      </c>
      <c r="S21" s="26">
        <f t="shared" si="10"/>
        <v>0.93</v>
      </c>
      <c r="T21" s="26">
        <f t="shared" si="11"/>
        <v>0.86899999999999999</v>
      </c>
      <c r="U21" s="26">
        <f t="shared" si="12"/>
        <v>0.86899999999999999</v>
      </c>
      <c r="V21" s="25">
        <f t="shared" si="13"/>
        <v>0.39356782142498925</v>
      </c>
      <c r="W21" s="25">
        <f t="shared" si="14"/>
        <v>8936.6424250822001</v>
      </c>
      <c r="X21" s="25">
        <f t="shared" si="15"/>
        <v>1336.7536791840014</v>
      </c>
      <c r="Y21" s="25">
        <f t="shared" si="16"/>
        <v>0.13637985684576859</v>
      </c>
      <c r="Z21" s="25">
        <f t="shared" si="17"/>
        <v>2.6931635593589114</v>
      </c>
      <c r="AA21" s="25">
        <f t="shared" si="18"/>
        <v>0.81818992842288429</v>
      </c>
      <c r="AB21" s="24">
        <f t="shared" si="19"/>
        <v>1</v>
      </c>
      <c r="AC21" s="24">
        <f t="shared" si="20"/>
        <v>1</v>
      </c>
    </row>
    <row r="22" spans="1:29">
      <c r="A22" s="30"/>
      <c r="D22" s="31"/>
      <c r="G22" s="59"/>
      <c r="H22" s="58"/>
      <c r="I22" s="23"/>
      <c r="K22" s="24"/>
      <c r="L22" s="25"/>
      <c r="M22" s="24"/>
      <c r="N22" s="24"/>
      <c r="O22" s="24"/>
      <c r="P22" s="24"/>
      <c r="Q22" s="26"/>
      <c r="R22" s="26"/>
      <c r="S22" s="26"/>
      <c r="T22" s="26"/>
      <c r="U22" s="26"/>
      <c r="V22" s="25"/>
      <c r="W22" s="25">
        <f t="shared" si="14"/>
        <v>0</v>
      </c>
      <c r="X22" s="25"/>
      <c r="Y22" s="25"/>
      <c r="Z22" s="25"/>
      <c r="AA22" s="25"/>
      <c r="AB22" s="24"/>
      <c r="AC22" s="24"/>
    </row>
    <row r="23" spans="1:29">
      <c r="A23" s="32" t="s">
        <v>65</v>
      </c>
      <c r="B23" s="67">
        <v>2006</v>
      </c>
      <c r="C23" s="66" t="s">
        <v>66</v>
      </c>
      <c r="D23" s="31"/>
      <c r="E23" s="67" t="s">
        <v>49</v>
      </c>
      <c r="G23" s="59"/>
      <c r="H23" s="58"/>
      <c r="I23" s="23"/>
      <c r="K23" s="24"/>
      <c r="L23" s="25"/>
      <c r="M23" s="24"/>
      <c r="N23" s="24"/>
      <c r="O23" s="24"/>
      <c r="P23" s="24"/>
      <c r="Q23" s="26"/>
      <c r="R23" s="26"/>
      <c r="S23" s="26"/>
      <c r="T23" s="26"/>
      <c r="U23" s="26"/>
      <c r="V23" s="25"/>
      <c r="W23" s="25" t="e">
        <f t="shared" si="14"/>
        <v>#VALUE!</v>
      </c>
      <c r="X23" s="25"/>
      <c r="Y23" s="25"/>
      <c r="Z23" s="25"/>
      <c r="AA23" s="25"/>
      <c r="AB23" s="24"/>
      <c r="AC23" s="24"/>
    </row>
    <row r="24" spans="1:29">
      <c r="A24" s="30" t="s">
        <v>67</v>
      </c>
      <c r="B24">
        <v>238</v>
      </c>
      <c r="C24">
        <v>4.54</v>
      </c>
      <c r="D24" s="33">
        <v>507</v>
      </c>
      <c r="E24" s="34">
        <v>0.1</v>
      </c>
      <c r="F24">
        <v>714</v>
      </c>
      <c r="G24" s="59">
        <f t="shared" si="0"/>
        <v>52.42290748898678</v>
      </c>
      <c r="H24" s="58">
        <f t="shared" si="1"/>
        <v>1.2566626050551439</v>
      </c>
      <c r="I24" s="23">
        <f t="shared" si="2"/>
        <v>0.12</v>
      </c>
      <c r="J24">
        <v>1768</v>
      </c>
      <c r="K24" s="24">
        <f t="shared" si="3"/>
        <v>1692</v>
      </c>
      <c r="L24" s="25">
        <f t="shared" ref="L24:L31" si="22">F24/B24</f>
        <v>3</v>
      </c>
      <c r="M24" s="24">
        <f t="shared" ref="M24:M31" si="23">ROUND((E24*W24+D24*X24)/1000,0)</f>
        <v>1692</v>
      </c>
      <c r="N24" s="24">
        <f t="shared" si="6"/>
        <v>1692</v>
      </c>
      <c r="O24" s="24">
        <f t="shared" si="21"/>
        <v>1692</v>
      </c>
      <c r="P24" s="24">
        <f t="shared" ref="P24:P31" si="24">ROUND(AC24*O24,0)</f>
        <v>1692</v>
      </c>
      <c r="Q24" s="26">
        <f t="shared" ref="Q24:Q31" si="25">ROUND((J24/K24),2)</f>
        <v>1.04</v>
      </c>
      <c r="R24" s="26">
        <f t="shared" ref="R24:R31" si="26">ROUND((J24/M24),2)</f>
        <v>1.04</v>
      </c>
      <c r="S24" s="26">
        <f t="shared" ref="S24:S31" si="27">ROUND((J24/N24),2)</f>
        <v>1.04</v>
      </c>
      <c r="T24" s="26">
        <f t="shared" ref="T24:T31" si="28">ROUND((J24/O24),3)</f>
        <v>1.0449999999999999</v>
      </c>
      <c r="U24" s="26">
        <f t="shared" ref="U24:U31" si="29">ROUND((J24/P24),3)</f>
        <v>1.0449999999999999</v>
      </c>
      <c r="V24" s="25">
        <f t="shared" si="13"/>
        <v>0.99775914499858931</v>
      </c>
      <c r="W24" s="25">
        <f t="shared" si="14"/>
        <v>41158.284561827197</v>
      </c>
      <c r="X24" s="25">
        <f t="shared" ref="X24:X31" si="30">0.785398*(B24*B24-(B24-2*C24)*(B24-2*C24))</f>
        <v>3329.7997501728069</v>
      </c>
      <c r="Y24" s="25">
        <f t="shared" ref="Y24:Y31" si="31">SQRT((64*M24*F24*F24)/(PI()^3*((B24^4-(B24-2*C24)^4)*200+5.7*(E24+8)^0.33333*((B24-2*C24)^4-H24^4))))</f>
        <v>0.11987403604349296</v>
      </c>
      <c r="Z24" s="25">
        <f t="shared" si="17"/>
        <v>2.9266166699904437</v>
      </c>
      <c r="AA24" s="25">
        <f t="shared" ref="AA24:AA31" si="32">IF((0.25*(3+2*Y24))&gt;1,1,(0.25*(3+2*Y24)))</f>
        <v>0.80993701802174645</v>
      </c>
      <c r="AB24" s="24">
        <f t="shared" ref="AB24:AB31" si="33">IF(Y24&lt;0.2,1,(1+0.158*SQRT(Y24*Y24-0.04)+Y24*Y24))</f>
        <v>1</v>
      </c>
      <c r="AC24" s="24">
        <f t="shared" ref="AC24:AC31" si="34">IF(Y24&lt;0.2,1,(AB24-SQRT(AB24*AB24-4*Y24*Y24))/(2*Y24*Y24))</f>
        <v>1</v>
      </c>
    </row>
    <row r="25" spans="1:29">
      <c r="A25" s="30" t="s">
        <v>68</v>
      </c>
      <c r="B25">
        <v>360</v>
      </c>
      <c r="C25">
        <v>4.54</v>
      </c>
      <c r="D25" s="33">
        <v>525</v>
      </c>
      <c r="E25" s="34">
        <v>0.1</v>
      </c>
      <c r="F25">
        <v>1080</v>
      </c>
      <c r="G25" s="59">
        <f t="shared" si="0"/>
        <v>79.295154185022028</v>
      </c>
      <c r="H25" s="58">
        <f t="shared" si="1"/>
        <v>1.9683194301246603</v>
      </c>
      <c r="I25" s="23">
        <f t="shared" si="2"/>
        <v>0.113</v>
      </c>
      <c r="J25">
        <v>2778</v>
      </c>
      <c r="K25" s="24">
        <f t="shared" si="3"/>
        <v>2670</v>
      </c>
      <c r="L25" s="25">
        <f t="shared" si="22"/>
        <v>3</v>
      </c>
      <c r="M25" s="24">
        <f t="shared" si="23"/>
        <v>2671</v>
      </c>
      <c r="N25" s="24">
        <f t="shared" si="6"/>
        <v>2671</v>
      </c>
      <c r="O25" s="24">
        <f t="shared" si="21"/>
        <v>2671</v>
      </c>
      <c r="P25" s="24">
        <f t="shared" si="24"/>
        <v>2671</v>
      </c>
      <c r="Q25" s="26">
        <f t="shared" si="25"/>
        <v>1.04</v>
      </c>
      <c r="R25" s="26">
        <f t="shared" si="26"/>
        <v>1.04</v>
      </c>
      <c r="S25" s="26">
        <f t="shared" si="27"/>
        <v>1.04</v>
      </c>
      <c r="T25" s="26">
        <f t="shared" si="28"/>
        <v>1.04</v>
      </c>
      <c r="U25" s="26">
        <f t="shared" si="29"/>
        <v>1.04</v>
      </c>
      <c r="V25" s="25">
        <f t="shared" si="13"/>
        <v>0.99651028893474969</v>
      </c>
      <c r="W25" s="25">
        <f t="shared" si="14"/>
        <v>96717.716072867217</v>
      </c>
      <c r="X25" s="25">
        <f t="shared" si="30"/>
        <v>5069.8647271327927</v>
      </c>
      <c r="Y25" s="25">
        <f t="shared" si="31"/>
        <v>0.11341922673116341</v>
      </c>
      <c r="Z25" s="25">
        <f t="shared" si="17"/>
        <v>3.0204309623424934</v>
      </c>
      <c r="AA25" s="25">
        <f t="shared" si="32"/>
        <v>0.80670961336558167</v>
      </c>
      <c r="AB25" s="24">
        <f t="shared" si="33"/>
        <v>1</v>
      </c>
      <c r="AC25" s="24">
        <f t="shared" si="34"/>
        <v>1</v>
      </c>
    </row>
    <row r="26" spans="1:29">
      <c r="A26" s="30" t="s">
        <v>69</v>
      </c>
      <c r="B26">
        <v>239</v>
      </c>
      <c r="C26">
        <v>4.54</v>
      </c>
      <c r="D26" s="33">
        <v>507</v>
      </c>
      <c r="E26" s="34">
        <v>25.4</v>
      </c>
      <c r="F26">
        <v>717</v>
      </c>
      <c r="G26" s="59">
        <f t="shared" si="0"/>
        <v>52.643171806167402</v>
      </c>
      <c r="H26" s="58">
        <f t="shared" si="1"/>
        <v>1.2619427000343675</v>
      </c>
      <c r="I26" s="23">
        <f t="shared" si="2"/>
        <v>0.14199999999999999</v>
      </c>
      <c r="J26">
        <v>3035</v>
      </c>
      <c r="K26" s="24">
        <f t="shared" si="3"/>
        <v>2592</v>
      </c>
      <c r="L26" s="25">
        <f t="shared" si="22"/>
        <v>3</v>
      </c>
      <c r="M26" s="24">
        <f t="shared" si="23"/>
        <v>2750</v>
      </c>
      <c r="N26" s="24">
        <f t="shared" si="6"/>
        <v>3390</v>
      </c>
      <c r="O26" s="24">
        <f t="shared" si="21"/>
        <v>3493</v>
      </c>
      <c r="P26" s="24">
        <f t="shared" si="24"/>
        <v>3493</v>
      </c>
      <c r="Q26" s="26">
        <f t="shared" si="25"/>
        <v>1.17</v>
      </c>
      <c r="R26" s="26">
        <f t="shared" si="26"/>
        <v>1.1000000000000001</v>
      </c>
      <c r="S26" s="26">
        <f t="shared" si="27"/>
        <v>0.9</v>
      </c>
      <c r="T26" s="26">
        <f t="shared" si="28"/>
        <v>0.86899999999999999</v>
      </c>
      <c r="U26" s="26">
        <f t="shared" si="29"/>
        <v>0.86899999999999999</v>
      </c>
      <c r="V26" s="25">
        <f t="shared" si="13"/>
        <v>0.61652353708049878</v>
      </c>
      <c r="W26" s="25">
        <f t="shared" si="14"/>
        <v>41518.656580147195</v>
      </c>
      <c r="X26" s="25">
        <f t="shared" si="30"/>
        <v>3344.0625778528038</v>
      </c>
      <c r="Y26" s="25">
        <f t="shared" si="31"/>
        <v>0.14188419225337059</v>
      </c>
      <c r="Z26" s="25">
        <f t="shared" si="17"/>
        <v>2.6173715515062983</v>
      </c>
      <c r="AA26" s="25">
        <f t="shared" si="32"/>
        <v>0.82094209612668534</v>
      </c>
      <c r="AB26" s="24">
        <f t="shared" si="33"/>
        <v>1</v>
      </c>
      <c r="AC26" s="24">
        <f t="shared" si="34"/>
        <v>1</v>
      </c>
    </row>
    <row r="27" spans="1:29">
      <c r="A27" s="30" t="s">
        <v>70</v>
      </c>
      <c r="B27">
        <v>238</v>
      </c>
      <c r="C27">
        <v>4.54</v>
      </c>
      <c r="D27" s="33">
        <v>507</v>
      </c>
      <c r="E27" s="34">
        <v>40.5</v>
      </c>
      <c r="F27">
        <v>714</v>
      </c>
      <c r="G27" s="59">
        <f t="shared" si="0"/>
        <v>52.42290748898678</v>
      </c>
      <c r="H27" s="58">
        <f t="shared" si="1"/>
        <v>1.2566626050551439</v>
      </c>
      <c r="I27" s="23">
        <f t="shared" si="2"/>
        <v>0.154</v>
      </c>
      <c r="J27">
        <v>3647</v>
      </c>
      <c r="K27" s="24">
        <f t="shared" si="3"/>
        <v>3105</v>
      </c>
      <c r="L27" s="25">
        <f t="shared" si="22"/>
        <v>3</v>
      </c>
      <c r="M27" s="24">
        <f t="shared" si="23"/>
        <v>3355</v>
      </c>
      <c r="N27" s="24">
        <f t="shared" si="6"/>
        <v>3900</v>
      </c>
      <c r="O27" s="24">
        <f t="shared" si="21"/>
        <v>4042</v>
      </c>
      <c r="P27" s="24">
        <f t="shared" si="24"/>
        <v>4042</v>
      </c>
      <c r="Q27" s="26">
        <f t="shared" si="25"/>
        <v>1.17</v>
      </c>
      <c r="R27" s="26">
        <f t="shared" si="26"/>
        <v>1.0900000000000001</v>
      </c>
      <c r="S27" s="26">
        <f t="shared" si="27"/>
        <v>0.94</v>
      </c>
      <c r="T27" s="26">
        <f t="shared" si="28"/>
        <v>0.90200000000000002</v>
      </c>
      <c r="U27" s="26">
        <f t="shared" si="29"/>
        <v>0.90200000000000002</v>
      </c>
      <c r="V27" s="25">
        <f t="shared" si="13"/>
        <v>0.50319179533162828</v>
      </c>
      <c r="W27" s="25">
        <f t="shared" si="14"/>
        <v>41158.284561827197</v>
      </c>
      <c r="X27" s="25">
        <f t="shared" si="30"/>
        <v>3329.7997501728069</v>
      </c>
      <c r="Y27" s="25">
        <f t="shared" si="31"/>
        <v>0.15364454820467419</v>
      </c>
      <c r="Z27" s="25">
        <f t="shared" si="17"/>
        <v>2.4588888604948416</v>
      </c>
      <c r="AA27" s="25">
        <f t="shared" si="32"/>
        <v>0.82682227410233711</v>
      </c>
      <c r="AB27" s="24">
        <f t="shared" si="33"/>
        <v>1</v>
      </c>
      <c r="AC27" s="24">
        <f t="shared" si="34"/>
        <v>1</v>
      </c>
    </row>
    <row r="28" spans="1:29">
      <c r="A28" s="30" t="s">
        <v>71</v>
      </c>
      <c r="B28">
        <v>238</v>
      </c>
      <c r="C28">
        <v>4.54</v>
      </c>
      <c r="D28" s="33">
        <v>507</v>
      </c>
      <c r="E28" s="34">
        <v>77</v>
      </c>
      <c r="F28">
        <v>714</v>
      </c>
      <c r="G28" s="59">
        <f t="shared" si="0"/>
        <v>52.42290748898678</v>
      </c>
      <c r="H28" s="58">
        <f t="shared" si="1"/>
        <v>1.2566626050551439</v>
      </c>
      <c r="I28" s="23">
        <f t="shared" si="2"/>
        <v>0.17799999999999999</v>
      </c>
      <c r="J28">
        <v>5578</v>
      </c>
      <c r="K28" s="24">
        <f t="shared" si="3"/>
        <v>4382</v>
      </c>
      <c r="L28" s="25">
        <f t="shared" si="22"/>
        <v>3</v>
      </c>
      <c r="M28" s="24">
        <f t="shared" si="23"/>
        <v>4857</v>
      </c>
      <c r="N28" s="24">
        <f t="shared" si="6"/>
        <v>5177</v>
      </c>
      <c r="O28" s="24">
        <f t="shared" si="21"/>
        <v>5440</v>
      </c>
      <c r="P28" s="24">
        <f t="shared" si="24"/>
        <v>5440</v>
      </c>
      <c r="Q28" s="26">
        <f t="shared" si="25"/>
        <v>1.27</v>
      </c>
      <c r="R28" s="26">
        <f t="shared" si="26"/>
        <v>1.1499999999999999</v>
      </c>
      <c r="S28" s="26">
        <f t="shared" si="27"/>
        <v>1.08</v>
      </c>
      <c r="T28" s="26">
        <f t="shared" si="28"/>
        <v>1.0249999999999999</v>
      </c>
      <c r="U28" s="26">
        <f t="shared" si="29"/>
        <v>1.0249999999999999</v>
      </c>
      <c r="V28" s="25">
        <f t="shared" si="13"/>
        <v>0.34758255576232511</v>
      </c>
      <c r="W28" s="25">
        <f t="shared" si="14"/>
        <v>41158.284561827197</v>
      </c>
      <c r="X28" s="25">
        <f t="shared" si="30"/>
        <v>3329.7997501728069</v>
      </c>
      <c r="Y28" s="25">
        <f t="shared" si="31"/>
        <v>0.17800998867429801</v>
      </c>
      <c r="Z28" s="25">
        <f t="shared" si="17"/>
        <v>2.1455036626784905</v>
      </c>
      <c r="AA28" s="25">
        <f t="shared" si="32"/>
        <v>0.83900499433714903</v>
      </c>
      <c r="AB28" s="24">
        <f t="shared" si="33"/>
        <v>1</v>
      </c>
      <c r="AC28" s="24">
        <f t="shared" si="34"/>
        <v>1</v>
      </c>
    </row>
    <row r="29" spans="1:29">
      <c r="A29" s="30" t="s">
        <v>72</v>
      </c>
      <c r="B29">
        <v>361</v>
      </c>
      <c r="C29">
        <v>4.54</v>
      </c>
      <c r="D29" s="33">
        <v>525</v>
      </c>
      <c r="E29" s="34">
        <v>35.4</v>
      </c>
      <c r="F29">
        <v>1083</v>
      </c>
      <c r="G29" s="59">
        <f t="shared" si="0"/>
        <v>79.51541850220265</v>
      </c>
      <c r="H29" s="58">
        <f t="shared" si="1"/>
        <v>1.9737869840972289</v>
      </c>
      <c r="I29" s="23">
        <f t="shared" si="2"/>
        <v>0.153</v>
      </c>
      <c r="J29">
        <v>5633</v>
      </c>
      <c r="K29" s="24">
        <f t="shared" si="3"/>
        <v>5596</v>
      </c>
      <c r="L29" s="25">
        <f t="shared" si="22"/>
        <v>3</v>
      </c>
      <c r="M29" s="24">
        <f t="shared" si="23"/>
        <v>6113</v>
      </c>
      <c r="N29" s="24">
        <f t="shared" si="6"/>
        <v>6880</v>
      </c>
      <c r="O29" s="24">
        <f t="shared" si="21"/>
        <v>7238</v>
      </c>
      <c r="P29" s="24">
        <f t="shared" si="24"/>
        <v>7238</v>
      </c>
      <c r="Q29" s="26">
        <f t="shared" si="25"/>
        <v>1.01</v>
      </c>
      <c r="R29" s="26">
        <f t="shared" si="26"/>
        <v>0.92</v>
      </c>
      <c r="S29" s="26">
        <f t="shared" si="27"/>
        <v>0.82</v>
      </c>
      <c r="T29" s="26">
        <f t="shared" si="28"/>
        <v>0.77800000000000002</v>
      </c>
      <c r="U29" s="26">
        <f t="shared" si="29"/>
        <v>0.77800000000000002</v>
      </c>
      <c r="V29" s="25">
        <f t="shared" si="13"/>
        <v>0.43663781552048386</v>
      </c>
      <c r="W29" s="25">
        <f t="shared" si="14"/>
        <v>97269.725203187205</v>
      </c>
      <c r="X29" s="25">
        <f t="shared" si="30"/>
        <v>5084.127554812796</v>
      </c>
      <c r="Y29" s="25">
        <f t="shared" si="31"/>
        <v>0.1525069312670739</v>
      </c>
      <c r="Z29" s="25">
        <f t="shared" si="17"/>
        <v>2.4740139609956331</v>
      </c>
      <c r="AA29" s="25">
        <f t="shared" si="32"/>
        <v>0.82625346563353697</v>
      </c>
      <c r="AB29" s="24">
        <f t="shared" si="33"/>
        <v>1</v>
      </c>
      <c r="AC29" s="24">
        <f t="shared" si="34"/>
        <v>1</v>
      </c>
    </row>
    <row r="30" spans="1:29">
      <c r="A30" s="30" t="s">
        <v>73</v>
      </c>
      <c r="B30">
        <v>361</v>
      </c>
      <c r="C30">
        <v>4.54</v>
      </c>
      <c r="D30" s="33">
        <v>525</v>
      </c>
      <c r="E30" s="34">
        <v>41.1</v>
      </c>
      <c r="F30">
        <v>1083</v>
      </c>
      <c r="G30" s="59">
        <f t="shared" si="0"/>
        <v>79.51541850220265</v>
      </c>
      <c r="H30" s="58">
        <f t="shared" si="1"/>
        <v>1.9737869840972289</v>
      </c>
      <c r="I30" s="23">
        <f t="shared" si="2"/>
        <v>0.158</v>
      </c>
      <c r="J30">
        <v>7260</v>
      </c>
      <c r="K30" s="24">
        <f t="shared" si="3"/>
        <v>6067</v>
      </c>
      <c r="L30" s="25">
        <f t="shared" si="22"/>
        <v>3</v>
      </c>
      <c r="M30" s="24">
        <f t="shared" si="23"/>
        <v>6667</v>
      </c>
      <c r="N30" s="24">
        <f t="shared" si="6"/>
        <v>7351</v>
      </c>
      <c r="O30" s="24">
        <f t="shared" si="21"/>
        <v>7755</v>
      </c>
      <c r="P30" s="24">
        <f t="shared" si="24"/>
        <v>7755</v>
      </c>
      <c r="Q30" s="26">
        <f t="shared" si="25"/>
        <v>1.2</v>
      </c>
      <c r="R30" s="26">
        <f t="shared" si="26"/>
        <v>1.0900000000000001</v>
      </c>
      <c r="S30" s="26">
        <f t="shared" si="27"/>
        <v>0.99</v>
      </c>
      <c r="T30" s="26">
        <f t="shared" si="28"/>
        <v>0.93600000000000005</v>
      </c>
      <c r="U30" s="26">
        <f t="shared" si="29"/>
        <v>0.93600000000000005</v>
      </c>
      <c r="V30" s="25">
        <f t="shared" si="13"/>
        <v>0.40035502719014815</v>
      </c>
      <c r="W30" s="25">
        <f t="shared" si="14"/>
        <v>97269.725203187205</v>
      </c>
      <c r="X30" s="25">
        <f t="shared" si="30"/>
        <v>5084.127554812796</v>
      </c>
      <c r="Y30" s="25">
        <f t="shared" si="31"/>
        <v>0.15767722423223968</v>
      </c>
      <c r="Z30" s="25">
        <f t="shared" si="17"/>
        <v>2.4056271714104942</v>
      </c>
      <c r="AA30" s="25">
        <f t="shared" si="32"/>
        <v>0.82883861211611987</v>
      </c>
      <c r="AB30" s="24">
        <f t="shared" si="33"/>
        <v>1</v>
      </c>
      <c r="AC30" s="24">
        <f t="shared" si="34"/>
        <v>1</v>
      </c>
    </row>
    <row r="31" spans="1:29">
      <c r="A31" s="30" t="s">
        <v>74</v>
      </c>
      <c r="B31">
        <v>360</v>
      </c>
      <c r="C31">
        <v>4.54</v>
      </c>
      <c r="D31" s="33">
        <v>525</v>
      </c>
      <c r="E31" s="34">
        <v>85.1</v>
      </c>
      <c r="F31">
        <v>1080</v>
      </c>
      <c r="G31" s="59">
        <f t="shared" si="0"/>
        <v>79.295154185022028</v>
      </c>
      <c r="H31" s="58">
        <f t="shared" si="1"/>
        <v>1.9683194301246603</v>
      </c>
      <c r="I31" s="23">
        <f t="shared" si="2"/>
        <v>0.191</v>
      </c>
      <c r="J31">
        <v>11505</v>
      </c>
      <c r="K31" s="24">
        <f t="shared" si="3"/>
        <v>9658</v>
      </c>
      <c r="L31" s="25">
        <f t="shared" si="22"/>
        <v>3</v>
      </c>
      <c r="M31" s="24">
        <f t="shared" si="23"/>
        <v>10892</v>
      </c>
      <c r="N31" s="24">
        <f t="shared" si="6"/>
        <v>10938</v>
      </c>
      <c r="O31" s="24">
        <f t="shared" si="21"/>
        <v>11753</v>
      </c>
      <c r="P31" s="24">
        <f t="shared" si="24"/>
        <v>11753</v>
      </c>
      <c r="Q31" s="26">
        <f t="shared" si="25"/>
        <v>1.19</v>
      </c>
      <c r="R31" s="26">
        <f t="shared" si="26"/>
        <v>1.06</v>
      </c>
      <c r="S31" s="26">
        <f t="shared" si="27"/>
        <v>1.05</v>
      </c>
      <c r="T31" s="26">
        <f t="shared" si="28"/>
        <v>0.97899999999999998</v>
      </c>
      <c r="U31" s="26">
        <f t="shared" si="29"/>
        <v>0.97899999999999998</v>
      </c>
      <c r="V31" s="25">
        <f t="shared" si="13"/>
        <v>0.24437008646205621</v>
      </c>
      <c r="W31" s="25">
        <f t="shared" si="14"/>
        <v>96717.716072867217</v>
      </c>
      <c r="X31" s="25">
        <f t="shared" si="30"/>
        <v>5069.8647271327927</v>
      </c>
      <c r="Y31" s="25">
        <f t="shared" si="31"/>
        <v>0.19110089568429869</v>
      </c>
      <c r="Z31" s="25">
        <f t="shared" si="17"/>
        <v>1.9854658194732751</v>
      </c>
      <c r="AA31" s="25">
        <f t="shared" si="32"/>
        <v>0.84555044784214939</v>
      </c>
      <c r="AB31" s="24">
        <f t="shared" si="33"/>
        <v>1</v>
      </c>
      <c r="AC31" s="24">
        <f t="shared" si="34"/>
        <v>1</v>
      </c>
    </row>
    <row r="32" spans="1:29">
      <c r="G32" s="59"/>
      <c r="H32" s="58"/>
      <c r="I32" s="23"/>
      <c r="K32" s="24"/>
      <c r="L32" s="25"/>
      <c r="M32" s="24"/>
      <c r="N32" s="24"/>
      <c r="O32" s="24"/>
      <c r="P32" s="24"/>
      <c r="Q32" s="26"/>
      <c r="R32" s="26"/>
      <c r="S32" s="26"/>
      <c r="T32" s="26"/>
      <c r="U32" s="26"/>
      <c r="V32" s="25"/>
      <c r="W32" s="25">
        <f t="shared" si="14"/>
        <v>0</v>
      </c>
      <c r="X32" s="25"/>
      <c r="Y32" s="25"/>
      <c r="Z32" s="25"/>
      <c r="AA32" s="25"/>
      <c r="AB32" s="24"/>
      <c r="AC32" s="24"/>
    </row>
    <row r="33" spans="1:29">
      <c r="A33" s="32" t="s">
        <v>75</v>
      </c>
      <c r="B33" s="67">
        <v>2003</v>
      </c>
      <c r="C33" s="66" t="s">
        <v>76</v>
      </c>
      <c r="E33" s="67" t="s">
        <v>49</v>
      </c>
      <c r="G33" s="59"/>
      <c r="H33" s="58"/>
      <c r="I33" s="23"/>
      <c r="K33" s="24"/>
      <c r="L33" s="25"/>
      <c r="M33" s="24"/>
      <c r="N33" s="24"/>
      <c r="O33" s="24"/>
      <c r="P33" s="24"/>
      <c r="Q33" s="26"/>
      <c r="R33" s="26"/>
      <c r="S33" s="26"/>
      <c r="T33" s="26"/>
      <c r="U33" s="26"/>
      <c r="V33" s="25"/>
      <c r="W33" s="25" t="e">
        <f t="shared" si="14"/>
        <v>#VALUE!</v>
      </c>
      <c r="X33" s="25"/>
      <c r="Y33" s="25"/>
      <c r="Z33" s="25"/>
      <c r="AA33" s="25"/>
      <c r="AB33" s="24"/>
      <c r="AC33" s="24"/>
    </row>
    <row r="34" spans="1:29">
      <c r="A34" s="30" t="s">
        <v>77</v>
      </c>
      <c r="B34">
        <v>164</v>
      </c>
      <c r="C34">
        <v>3.8</v>
      </c>
      <c r="D34" s="33">
        <v>342</v>
      </c>
      <c r="E34" s="34">
        <v>24.2</v>
      </c>
      <c r="F34">
        <v>520</v>
      </c>
      <c r="G34" s="59">
        <f t="shared" si="0"/>
        <v>43.15789473684211</v>
      </c>
      <c r="H34" s="58">
        <f t="shared" si="1"/>
        <v>0.69787234042553192</v>
      </c>
      <c r="I34" s="23">
        <f t="shared" si="2"/>
        <v>0.13200000000000001</v>
      </c>
      <c r="J34">
        <v>1639</v>
      </c>
      <c r="K34" s="24">
        <f t="shared" ref="K34:K45" si="35">ROUND((0.85*E34*W34+D34*X34)/1000,0)</f>
        <v>1049</v>
      </c>
      <c r="L34" s="25">
        <f t="shared" ref="L34:L45" si="36">F34/B34</f>
        <v>3.1707317073170733</v>
      </c>
      <c r="M34" s="24">
        <f t="shared" ref="M34:M45" si="37">ROUND((E34*W34+D34*X34)/1000,0)</f>
        <v>1119</v>
      </c>
      <c r="N34" s="24">
        <f t="shared" ref="N34:N45" si="38">IF(E34&lt;1,M34,(ROUND((0.85*E34*W34+6*C34*D34*W34/(B34-2*C34))/1000,0)))</f>
        <v>1353</v>
      </c>
      <c r="O34" s="24">
        <f t="shared" si="21"/>
        <v>1418</v>
      </c>
      <c r="P34" s="24">
        <f t="shared" ref="P34:P45" si="39">ROUND(AC34*O34,0)</f>
        <v>1418</v>
      </c>
      <c r="Q34" s="26">
        <f t="shared" ref="Q34:Q45" si="40">ROUND((J34/K34),2)</f>
        <v>1.56</v>
      </c>
      <c r="R34" s="26">
        <f t="shared" ref="R34:R45" si="41">ROUND((J34/M34),2)</f>
        <v>1.46</v>
      </c>
      <c r="S34" s="26">
        <f t="shared" ref="S34:S45" si="42">ROUND((J34/N34),2)</f>
        <v>1.21</v>
      </c>
      <c r="T34" s="26">
        <f t="shared" ref="T34:T45" si="43">ROUND((J34/O34),3)</f>
        <v>1.1559999999999999</v>
      </c>
      <c r="U34" s="26">
        <f t="shared" ref="U34:U45" si="44">ROUND((J34/P34),3)</f>
        <v>1.1559999999999999</v>
      </c>
      <c r="V34" s="25">
        <f t="shared" si="13"/>
        <v>0.58450995237233183</v>
      </c>
      <c r="W34" s="25">
        <f t="shared" si="14"/>
        <v>19211.589062080002</v>
      </c>
      <c r="X34" s="25">
        <f t="shared" ref="X34:X45" si="45">0.785398*(B34*B34-(B34-2*C34)*(B34-2*C34))</f>
        <v>1912.475545919998</v>
      </c>
      <c r="Y34" s="25">
        <f t="shared" ref="Y34:Y45" si="46">SQRT((64*M34*F34*F34)/(PI()^3*((B34^4-(B34-2*C34)^4)*200+5.7*(E34+8)^0.33333*((B34-2*C34)^4-H34^4))))</f>
        <v>0.13196841086137656</v>
      </c>
      <c r="Z34" s="25">
        <f t="shared" si="17"/>
        <v>2.7546506439742444</v>
      </c>
      <c r="AA34" s="25">
        <f t="shared" ref="AA34:AA45" si="47">IF((0.25*(3+2*Y34))&gt;1,1,(0.25*(3+2*Y34)))</f>
        <v>0.81598420543068828</v>
      </c>
      <c r="AB34" s="24">
        <f t="shared" ref="AB34:AB45" si="48">IF(Y34&lt;0.2,1,(1+0.158*SQRT(Y34*Y34-0.04)+Y34*Y34))</f>
        <v>1</v>
      </c>
      <c r="AC34" s="24">
        <f t="shared" ref="AC34:AC45" si="49">IF(Y34&lt;0.2,1,(AB34-SQRT(AB34*AB34-4*Y34*Y34))/(2*Y34*Y34))</f>
        <v>1</v>
      </c>
    </row>
    <row r="35" spans="1:29">
      <c r="A35" s="30" t="s">
        <v>78</v>
      </c>
      <c r="B35">
        <v>164</v>
      </c>
      <c r="C35">
        <v>3.8</v>
      </c>
      <c r="D35" s="33">
        <v>342</v>
      </c>
      <c r="E35" s="34">
        <v>24.2</v>
      </c>
      <c r="F35">
        <v>520</v>
      </c>
      <c r="G35" s="59">
        <f t="shared" si="0"/>
        <v>43.15789473684211</v>
      </c>
      <c r="H35" s="58">
        <f t="shared" si="1"/>
        <v>0.69787234042553192</v>
      </c>
      <c r="I35" s="23">
        <f t="shared" si="2"/>
        <v>0.13200000000000001</v>
      </c>
      <c r="J35">
        <v>1639</v>
      </c>
      <c r="K35" s="24">
        <f t="shared" si="35"/>
        <v>1049</v>
      </c>
      <c r="L35" s="25">
        <f t="shared" si="36"/>
        <v>3.1707317073170733</v>
      </c>
      <c r="M35" s="24">
        <f t="shared" si="37"/>
        <v>1119</v>
      </c>
      <c r="N35" s="24">
        <f t="shared" si="38"/>
        <v>1353</v>
      </c>
      <c r="O35" s="24">
        <f t="shared" si="21"/>
        <v>1418</v>
      </c>
      <c r="P35" s="24">
        <f t="shared" si="39"/>
        <v>1418</v>
      </c>
      <c r="Q35" s="26">
        <f t="shared" si="40"/>
        <v>1.56</v>
      </c>
      <c r="R35" s="26">
        <f t="shared" si="41"/>
        <v>1.46</v>
      </c>
      <c r="S35" s="26">
        <f t="shared" si="42"/>
        <v>1.21</v>
      </c>
      <c r="T35" s="26">
        <f t="shared" si="43"/>
        <v>1.1559999999999999</v>
      </c>
      <c r="U35" s="26">
        <f t="shared" si="44"/>
        <v>1.1559999999999999</v>
      </c>
      <c r="V35" s="25">
        <f t="shared" si="13"/>
        <v>0.58450995237233183</v>
      </c>
      <c r="W35" s="25">
        <f t="shared" si="14"/>
        <v>19211.589062080002</v>
      </c>
      <c r="X35" s="25">
        <f t="shared" si="45"/>
        <v>1912.475545919998</v>
      </c>
      <c r="Y35" s="25">
        <f t="shared" si="46"/>
        <v>0.13196841086137656</v>
      </c>
      <c r="Z35" s="25">
        <f t="shared" si="17"/>
        <v>2.7546506439742444</v>
      </c>
      <c r="AA35" s="25">
        <f t="shared" si="47"/>
        <v>0.81598420543068828</v>
      </c>
      <c r="AB35" s="24">
        <f t="shared" si="48"/>
        <v>1</v>
      </c>
      <c r="AC35" s="24">
        <f t="shared" si="49"/>
        <v>1</v>
      </c>
    </row>
    <row r="36" spans="1:29">
      <c r="A36" s="30" t="s">
        <v>79</v>
      </c>
      <c r="B36">
        <v>164</v>
      </c>
      <c r="C36">
        <v>3.8</v>
      </c>
      <c r="D36" s="33">
        <v>342</v>
      </c>
      <c r="E36" s="34">
        <v>24.2</v>
      </c>
      <c r="F36">
        <v>520</v>
      </c>
      <c r="G36" s="59">
        <f t="shared" si="0"/>
        <v>43.15789473684211</v>
      </c>
      <c r="H36" s="58">
        <f t="shared" si="1"/>
        <v>0.69787234042553192</v>
      </c>
      <c r="I36" s="23">
        <f t="shared" si="2"/>
        <v>0.13200000000000001</v>
      </c>
      <c r="J36">
        <v>1639</v>
      </c>
      <c r="K36" s="24">
        <f t="shared" si="35"/>
        <v>1049</v>
      </c>
      <c r="L36" s="25">
        <f t="shared" si="36"/>
        <v>3.1707317073170733</v>
      </c>
      <c r="M36" s="24">
        <f t="shared" si="37"/>
        <v>1119</v>
      </c>
      <c r="N36" s="24">
        <f t="shared" si="38"/>
        <v>1353</v>
      </c>
      <c r="O36" s="24">
        <f t="shared" si="21"/>
        <v>1418</v>
      </c>
      <c r="P36" s="24">
        <f t="shared" si="39"/>
        <v>1418</v>
      </c>
      <c r="Q36" s="26">
        <f t="shared" si="40"/>
        <v>1.56</v>
      </c>
      <c r="R36" s="26">
        <f t="shared" si="41"/>
        <v>1.46</v>
      </c>
      <c r="S36" s="26">
        <f t="shared" si="42"/>
        <v>1.21</v>
      </c>
      <c r="T36" s="26">
        <f t="shared" si="43"/>
        <v>1.1559999999999999</v>
      </c>
      <c r="U36" s="26">
        <f t="shared" si="44"/>
        <v>1.1559999999999999</v>
      </c>
      <c r="V36" s="25">
        <f t="shared" si="13"/>
        <v>0.58450995237233183</v>
      </c>
      <c r="W36" s="25">
        <f t="shared" si="14"/>
        <v>19211.589062080002</v>
      </c>
      <c r="X36" s="25">
        <f t="shared" si="45"/>
        <v>1912.475545919998</v>
      </c>
      <c r="Y36" s="25">
        <f t="shared" si="46"/>
        <v>0.13196841086137656</v>
      </c>
      <c r="Z36" s="25">
        <f t="shared" si="17"/>
        <v>2.7546506439742444</v>
      </c>
      <c r="AA36" s="25">
        <f t="shared" si="47"/>
        <v>0.81598420543068828</v>
      </c>
      <c r="AB36" s="24">
        <f t="shared" si="48"/>
        <v>1</v>
      </c>
      <c r="AC36" s="24">
        <f t="shared" si="49"/>
        <v>1</v>
      </c>
    </row>
    <row r="37" spans="1:29">
      <c r="A37" s="30" t="s">
        <v>80</v>
      </c>
      <c r="B37">
        <v>159</v>
      </c>
      <c r="C37">
        <v>4.8</v>
      </c>
      <c r="D37" s="33">
        <v>366</v>
      </c>
      <c r="E37" s="34">
        <v>24.2</v>
      </c>
      <c r="F37">
        <v>520</v>
      </c>
      <c r="G37" s="59">
        <f t="shared" si="0"/>
        <v>33.125</v>
      </c>
      <c r="H37" s="58">
        <f t="shared" si="1"/>
        <v>0.57322695035460991</v>
      </c>
      <c r="I37" s="23">
        <f t="shared" si="2"/>
        <v>0.13800000000000001</v>
      </c>
      <c r="J37">
        <v>1907</v>
      </c>
      <c r="K37" s="24">
        <f t="shared" si="35"/>
        <v>1212</v>
      </c>
      <c r="L37" s="25">
        <f t="shared" si="36"/>
        <v>3.2704402515723272</v>
      </c>
      <c r="M37" s="24">
        <f t="shared" si="37"/>
        <v>1275</v>
      </c>
      <c r="N37" s="24">
        <f t="shared" si="38"/>
        <v>1597</v>
      </c>
      <c r="O37" s="24">
        <f t="shared" si="21"/>
        <v>1638</v>
      </c>
      <c r="P37" s="24">
        <f t="shared" si="39"/>
        <v>1638</v>
      </c>
      <c r="Q37" s="26">
        <f t="shared" si="40"/>
        <v>1.57</v>
      </c>
      <c r="R37" s="26">
        <f t="shared" si="41"/>
        <v>1.5</v>
      </c>
      <c r="S37" s="26">
        <f t="shared" si="42"/>
        <v>1.19</v>
      </c>
      <c r="T37" s="26">
        <f t="shared" si="43"/>
        <v>1.1639999999999999</v>
      </c>
      <c r="U37" s="26">
        <f t="shared" si="44"/>
        <v>1.1639999999999999</v>
      </c>
      <c r="V37" s="25">
        <f t="shared" si="13"/>
        <v>0.66749235208432933</v>
      </c>
      <c r="W37" s="25">
        <f t="shared" si="14"/>
        <v>17530.366103280001</v>
      </c>
      <c r="X37" s="25">
        <f t="shared" si="45"/>
        <v>2325.2807347199996</v>
      </c>
      <c r="Y37" s="25">
        <f t="shared" si="46"/>
        <v>0.13827177941677019</v>
      </c>
      <c r="Z37" s="25">
        <f t="shared" si="17"/>
        <v>2.6669965255021113</v>
      </c>
      <c r="AA37" s="25">
        <f t="shared" si="47"/>
        <v>0.81913588970838513</v>
      </c>
      <c r="AB37" s="24">
        <f t="shared" si="48"/>
        <v>1</v>
      </c>
      <c r="AC37" s="24">
        <f t="shared" si="49"/>
        <v>1</v>
      </c>
    </row>
    <row r="38" spans="1:29">
      <c r="A38" s="30" t="s">
        <v>81</v>
      </c>
      <c r="B38">
        <v>159</v>
      </c>
      <c r="C38">
        <v>4.8</v>
      </c>
      <c r="D38" s="33">
        <v>366</v>
      </c>
      <c r="E38" s="34">
        <v>24.2</v>
      </c>
      <c r="F38">
        <v>520</v>
      </c>
      <c r="G38" s="59">
        <f t="shared" si="0"/>
        <v>33.125</v>
      </c>
      <c r="H38" s="58">
        <f t="shared" si="1"/>
        <v>0.57322695035460991</v>
      </c>
      <c r="I38" s="23">
        <f t="shared" si="2"/>
        <v>0.13800000000000001</v>
      </c>
      <c r="J38">
        <v>1907</v>
      </c>
      <c r="K38" s="24">
        <f t="shared" si="35"/>
        <v>1212</v>
      </c>
      <c r="L38" s="25">
        <f t="shared" si="36"/>
        <v>3.2704402515723272</v>
      </c>
      <c r="M38" s="24">
        <f t="shared" si="37"/>
        <v>1275</v>
      </c>
      <c r="N38" s="24">
        <f t="shared" si="38"/>
        <v>1597</v>
      </c>
      <c r="O38" s="24">
        <f t="shared" si="21"/>
        <v>1638</v>
      </c>
      <c r="P38" s="24">
        <f t="shared" si="39"/>
        <v>1638</v>
      </c>
      <c r="Q38" s="26">
        <f t="shared" si="40"/>
        <v>1.57</v>
      </c>
      <c r="R38" s="26">
        <f t="shared" si="41"/>
        <v>1.5</v>
      </c>
      <c r="S38" s="26">
        <f t="shared" si="42"/>
        <v>1.19</v>
      </c>
      <c r="T38" s="26">
        <f t="shared" si="43"/>
        <v>1.1639999999999999</v>
      </c>
      <c r="U38" s="26">
        <f t="shared" si="44"/>
        <v>1.1639999999999999</v>
      </c>
      <c r="V38" s="25">
        <f t="shared" si="13"/>
        <v>0.66749235208432933</v>
      </c>
      <c r="W38" s="25">
        <f t="shared" si="14"/>
        <v>17530.366103280001</v>
      </c>
      <c r="X38" s="25">
        <f t="shared" si="45"/>
        <v>2325.2807347199996</v>
      </c>
      <c r="Y38" s="25">
        <f t="shared" si="46"/>
        <v>0.13827177941677019</v>
      </c>
      <c r="Z38" s="25">
        <f t="shared" si="17"/>
        <v>2.6669965255021113</v>
      </c>
      <c r="AA38" s="25">
        <f t="shared" si="47"/>
        <v>0.81913588970838513</v>
      </c>
      <c r="AB38" s="24">
        <f t="shared" si="48"/>
        <v>1</v>
      </c>
      <c r="AC38" s="24">
        <f t="shared" si="49"/>
        <v>1</v>
      </c>
    </row>
    <row r="39" spans="1:29">
      <c r="A39" s="30" t="s">
        <v>82</v>
      </c>
      <c r="B39">
        <v>159</v>
      </c>
      <c r="C39">
        <v>4.8</v>
      </c>
      <c r="D39" s="33">
        <v>366</v>
      </c>
      <c r="E39" s="34">
        <v>24.2</v>
      </c>
      <c r="F39">
        <v>520</v>
      </c>
      <c r="G39" s="59">
        <f t="shared" si="0"/>
        <v>33.125</v>
      </c>
      <c r="H39" s="58">
        <f t="shared" si="1"/>
        <v>0.57322695035460991</v>
      </c>
      <c r="I39" s="23">
        <f t="shared" si="2"/>
        <v>0.13800000000000001</v>
      </c>
      <c r="J39">
        <v>1907</v>
      </c>
      <c r="K39" s="24">
        <f t="shared" si="35"/>
        <v>1212</v>
      </c>
      <c r="L39" s="25">
        <f t="shared" si="36"/>
        <v>3.2704402515723272</v>
      </c>
      <c r="M39" s="24">
        <f t="shared" si="37"/>
        <v>1275</v>
      </c>
      <c r="N39" s="24">
        <f t="shared" si="38"/>
        <v>1597</v>
      </c>
      <c r="O39" s="24">
        <f t="shared" si="21"/>
        <v>1638</v>
      </c>
      <c r="P39" s="24">
        <f t="shared" si="39"/>
        <v>1638</v>
      </c>
      <c r="Q39" s="26">
        <f t="shared" si="40"/>
        <v>1.57</v>
      </c>
      <c r="R39" s="26">
        <f t="shared" si="41"/>
        <v>1.5</v>
      </c>
      <c r="S39" s="26">
        <f t="shared" si="42"/>
        <v>1.19</v>
      </c>
      <c r="T39" s="26">
        <f t="shared" si="43"/>
        <v>1.1639999999999999</v>
      </c>
      <c r="U39" s="26">
        <f t="shared" si="44"/>
        <v>1.1639999999999999</v>
      </c>
      <c r="V39" s="25">
        <f t="shared" si="13"/>
        <v>0.66749235208432933</v>
      </c>
      <c r="W39" s="25">
        <f t="shared" si="14"/>
        <v>17530.366103280001</v>
      </c>
      <c r="X39" s="25">
        <f t="shared" si="45"/>
        <v>2325.2807347199996</v>
      </c>
      <c r="Y39" s="25">
        <f t="shared" si="46"/>
        <v>0.13827177941677019</v>
      </c>
      <c r="Z39" s="25">
        <f t="shared" si="17"/>
        <v>2.6669965255021113</v>
      </c>
      <c r="AA39" s="25">
        <f t="shared" si="47"/>
        <v>0.81913588970838513</v>
      </c>
      <c r="AB39" s="24">
        <f t="shared" si="48"/>
        <v>1</v>
      </c>
      <c r="AC39" s="24">
        <f t="shared" si="49"/>
        <v>1</v>
      </c>
    </row>
    <row r="40" spans="1:29">
      <c r="A40" s="30" t="s">
        <v>83</v>
      </c>
      <c r="B40">
        <v>159</v>
      </c>
      <c r="C40">
        <v>5.2</v>
      </c>
      <c r="D40" s="33">
        <v>379</v>
      </c>
      <c r="E40" s="34">
        <v>24.2</v>
      </c>
      <c r="F40">
        <v>520</v>
      </c>
      <c r="G40" s="59">
        <f t="shared" si="0"/>
        <v>30.576923076923077</v>
      </c>
      <c r="H40" s="58">
        <f t="shared" si="1"/>
        <v>0.54792689579923626</v>
      </c>
      <c r="I40" s="23">
        <f t="shared" si="2"/>
        <v>0.14000000000000001</v>
      </c>
      <c r="J40">
        <v>2037</v>
      </c>
      <c r="K40" s="24">
        <f t="shared" si="35"/>
        <v>1309</v>
      </c>
      <c r="L40" s="25">
        <f t="shared" si="36"/>
        <v>3.2704402515723272</v>
      </c>
      <c r="M40" s="24">
        <f t="shared" si="37"/>
        <v>1372</v>
      </c>
      <c r="N40" s="24">
        <f t="shared" si="38"/>
        <v>1737</v>
      </c>
      <c r="O40" s="24">
        <f t="shared" si="21"/>
        <v>1769</v>
      </c>
      <c r="P40" s="24">
        <f t="shared" si="39"/>
        <v>1769</v>
      </c>
      <c r="Q40" s="26">
        <f t="shared" si="40"/>
        <v>1.56</v>
      </c>
      <c r="R40" s="26">
        <f t="shared" si="41"/>
        <v>1.48</v>
      </c>
      <c r="S40" s="26">
        <f t="shared" si="42"/>
        <v>1.17</v>
      </c>
      <c r="T40" s="26">
        <f t="shared" si="43"/>
        <v>1.151</v>
      </c>
      <c r="U40" s="26">
        <f t="shared" si="44"/>
        <v>1.151</v>
      </c>
      <c r="V40" s="25">
        <f t="shared" si="13"/>
        <v>0.69405607521259494</v>
      </c>
      <c r="W40" s="25">
        <f t="shared" si="14"/>
        <v>17343.127220080001</v>
      </c>
      <c r="X40" s="25">
        <f t="shared" si="45"/>
        <v>2512.5196179200007</v>
      </c>
      <c r="Y40" s="25">
        <f t="shared" si="46"/>
        <v>0.13986363995570486</v>
      </c>
      <c r="Z40" s="25">
        <f t="shared" si="17"/>
        <v>2.6450739031076642</v>
      </c>
      <c r="AA40" s="25">
        <f t="shared" si="47"/>
        <v>0.81993181997785247</v>
      </c>
      <c r="AB40" s="24">
        <f t="shared" si="48"/>
        <v>1</v>
      </c>
      <c r="AC40" s="24">
        <f t="shared" si="49"/>
        <v>1</v>
      </c>
    </row>
    <row r="41" spans="1:29">
      <c r="A41" s="30" t="s">
        <v>84</v>
      </c>
      <c r="B41">
        <v>159</v>
      </c>
      <c r="C41">
        <v>5.2</v>
      </c>
      <c r="D41" s="33">
        <v>379</v>
      </c>
      <c r="E41" s="34">
        <v>24.2</v>
      </c>
      <c r="F41">
        <v>520</v>
      </c>
      <c r="G41" s="59">
        <f t="shared" si="0"/>
        <v>30.576923076923077</v>
      </c>
      <c r="H41" s="58">
        <f t="shared" si="1"/>
        <v>0.54792689579923626</v>
      </c>
      <c r="I41" s="23">
        <f t="shared" si="2"/>
        <v>0.14000000000000001</v>
      </c>
      <c r="J41">
        <v>2037</v>
      </c>
      <c r="K41" s="24">
        <f t="shared" si="35"/>
        <v>1309</v>
      </c>
      <c r="L41" s="25">
        <f t="shared" si="36"/>
        <v>3.2704402515723272</v>
      </c>
      <c r="M41" s="24">
        <f t="shared" si="37"/>
        <v>1372</v>
      </c>
      <c r="N41" s="24">
        <f t="shared" si="38"/>
        <v>1737</v>
      </c>
      <c r="O41" s="24">
        <f t="shared" si="21"/>
        <v>1769</v>
      </c>
      <c r="P41" s="24">
        <f t="shared" si="39"/>
        <v>1769</v>
      </c>
      <c r="Q41" s="26">
        <f t="shared" si="40"/>
        <v>1.56</v>
      </c>
      <c r="R41" s="26">
        <f t="shared" si="41"/>
        <v>1.48</v>
      </c>
      <c r="S41" s="26">
        <f t="shared" si="42"/>
        <v>1.17</v>
      </c>
      <c r="T41" s="26">
        <f t="shared" si="43"/>
        <v>1.151</v>
      </c>
      <c r="U41" s="26">
        <f t="shared" si="44"/>
        <v>1.151</v>
      </c>
      <c r="V41" s="25">
        <f t="shared" si="13"/>
        <v>0.69405607521259494</v>
      </c>
      <c r="W41" s="25">
        <f t="shared" si="14"/>
        <v>17343.127220080001</v>
      </c>
      <c r="X41" s="25">
        <f t="shared" si="45"/>
        <v>2512.5196179200007</v>
      </c>
      <c r="Y41" s="25">
        <f t="shared" si="46"/>
        <v>0.13986363995570486</v>
      </c>
      <c r="Z41" s="25">
        <f t="shared" si="17"/>
        <v>2.6450739031076642</v>
      </c>
      <c r="AA41" s="25">
        <f t="shared" si="47"/>
        <v>0.81993181997785247</v>
      </c>
      <c r="AB41" s="24">
        <f t="shared" si="48"/>
        <v>1</v>
      </c>
      <c r="AC41" s="24">
        <f t="shared" si="49"/>
        <v>1</v>
      </c>
    </row>
    <row r="42" spans="1:29">
      <c r="A42" s="30" t="s">
        <v>85</v>
      </c>
      <c r="B42">
        <v>159</v>
      </c>
      <c r="C42">
        <v>5.2</v>
      </c>
      <c r="D42" s="33">
        <v>379</v>
      </c>
      <c r="E42" s="34">
        <v>24.2</v>
      </c>
      <c r="F42">
        <v>520</v>
      </c>
      <c r="G42" s="59">
        <f t="shared" si="0"/>
        <v>30.576923076923077</v>
      </c>
      <c r="H42" s="58">
        <f t="shared" si="1"/>
        <v>0.54792689579923626</v>
      </c>
      <c r="I42" s="23">
        <f t="shared" si="2"/>
        <v>0.14000000000000001</v>
      </c>
      <c r="J42">
        <v>2037</v>
      </c>
      <c r="K42" s="24">
        <f t="shared" si="35"/>
        <v>1309</v>
      </c>
      <c r="L42" s="25">
        <f t="shared" si="36"/>
        <v>3.2704402515723272</v>
      </c>
      <c r="M42" s="24">
        <f t="shared" si="37"/>
        <v>1372</v>
      </c>
      <c r="N42" s="24">
        <f t="shared" si="38"/>
        <v>1737</v>
      </c>
      <c r="O42" s="24">
        <f t="shared" si="21"/>
        <v>1769</v>
      </c>
      <c r="P42" s="24">
        <f t="shared" si="39"/>
        <v>1769</v>
      </c>
      <c r="Q42" s="26">
        <f t="shared" si="40"/>
        <v>1.56</v>
      </c>
      <c r="R42" s="26">
        <f t="shared" si="41"/>
        <v>1.48</v>
      </c>
      <c r="S42" s="26">
        <f t="shared" si="42"/>
        <v>1.17</v>
      </c>
      <c r="T42" s="26">
        <f t="shared" si="43"/>
        <v>1.151</v>
      </c>
      <c r="U42" s="26">
        <f t="shared" si="44"/>
        <v>1.151</v>
      </c>
      <c r="V42" s="25">
        <f t="shared" si="13"/>
        <v>0.69405607521259494</v>
      </c>
      <c r="W42" s="25">
        <f t="shared" si="14"/>
        <v>17343.127220080001</v>
      </c>
      <c r="X42" s="25">
        <f t="shared" si="45"/>
        <v>2512.5196179200007</v>
      </c>
      <c r="Y42" s="25">
        <f t="shared" si="46"/>
        <v>0.13986363995570486</v>
      </c>
      <c r="Z42" s="25">
        <f t="shared" si="17"/>
        <v>2.6450739031076642</v>
      </c>
      <c r="AA42" s="25">
        <f t="shared" si="47"/>
        <v>0.81993181997785247</v>
      </c>
      <c r="AB42" s="24">
        <f t="shared" si="48"/>
        <v>1</v>
      </c>
      <c r="AC42" s="24">
        <f t="shared" si="49"/>
        <v>1</v>
      </c>
    </row>
    <row r="43" spans="1:29">
      <c r="A43" s="30" t="s">
        <v>86</v>
      </c>
      <c r="B43">
        <v>159</v>
      </c>
      <c r="C43">
        <v>6.3</v>
      </c>
      <c r="D43" s="33">
        <v>360</v>
      </c>
      <c r="E43" s="34">
        <v>24.2</v>
      </c>
      <c r="F43">
        <v>520</v>
      </c>
      <c r="G43" s="59">
        <f t="shared" si="0"/>
        <v>25.238095238095237</v>
      </c>
      <c r="H43" s="58">
        <f t="shared" si="1"/>
        <v>0.42958459979736574</v>
      </c>
      <c r="I43" s="23">
        <f t="shared" si="2"/>
        <v>0.13700000000000001</v>
      </c>
      <c r="J43">
        <v>2177</v>
      </c>
      <c r="K43" s="24">
        <f t="shared" si="35"/>
        <v>1434</v>
      </c>
      <c r="L43" s="25">
        <f t="shared" si="36"/>
        <v>3.2704402515723272</v>
      </c>
      <c r="M43" s="24">
        <f t="shared" si="37"/>
        <v>1495</v>
      </c>
      <c r="N43" s="24">
        <f t="shared" si="38"/>
        <v>1911</v>
      </c>
      <c r="O43" s="24">
        <f t="shared" si="21"/>
        <v>1942</v>
      </c>
      <c r="P43" s="24">
        <f t="shared" si="39"/>
        <v>1942</v>
      </c>
      <c r="Q43" s="26">
        <f t="shared" si="40"/>
        <v>1.52</v>
      </c>
      <c r="R43" s="26">
        <f t="shared" si="41"/>
        <v>1.46</v>
      </c>
      <c r="S43" s="26">
        <f t="shared" si="42"/>
        <v>1.1399999999999999</v>
      </c>
      <c r="T43" s="26">
        <f t="shared" si="43"/>
        <v>1.121</v>
      </c>
      <c r="U43" s="26">
        <f t="shared" si="44"/>
        <v>1.121</v>
      </c>
      <c r="V43" s="25">
        <f t="shared" si="13"/>
        <v>0.72776418138541765</v>
      </c>
      <c r="W43" s="25">
        <f t="shared" si="14"/>
        <v>16833.403918080003</v>
      </c>
      <c r="X43" s="25">
        <f t="shared" si="45"/>
        <v>3022.2429199199978</v>
      </c>
      <c r="Y43" s="25">
        <f t="shared" si="46"/>
        <v>0.13727060050406689</v>
      </c>
      <c r="Z43" s="25">
        <f t="shared" si="17"/>
        <v>2.6808285926414639</v>
      </c>
      <c r="AA43" s="25">
        <f t="shared" si="47"/>
        <v>0.81863530025203346</v>
      </c>
      <c r="AB43" s="24">
        <f t="shared" si="48"/>
        <v>1</v>
      </c>
      <c r="AC43" s="24">
        <f t="shared" si="49"/>
        <v>1</v>
      </c>
    </row>
    <row r="44" spans="1:29">
      <c r="A44" s="30" t="s">
        <v>87</v>
      </c>
      <c r="B44">
        <v>159</v>
      </c>
      <c r="C44">
        <v>6.3</v>
      </c>
      <c r="D44" s="33">
        <v>360</v>
      </c>
      <c r="E44" s="34">
        <v>24.2</v>
      </c>
      <c r="F44">
        <v>520</v>
      </c>
      <c r="G44" s="59">
        <f t="shared" si="0"/>
        <v>25.238095238095237</v>
      </c>
      <c r="H44" s="58">
        <f t="shared" si="1"/>
        <v>0.42958459979736574</v>
      </c>
      <c r="I44" s="23">
        <f t="shared" si="2"/>
        <v>0.13700000000000001</v>
      </c>
      <c r="J44">
        <v>2177</v>
      </c>
      <c r="K44" s="24">
        <f t="shared" si="35"/>
        <v>1434</v>
      </c>
      <c r="L44" s="25">
        <f t="shared" si="36"/>
        <v>3.2704402515723272</v>
      </c>
      <c r="M44" s="24">
        <f t="shared" si="37"/>
        <v>1495</v>
      </c>
      <c r="N44" s="24">
        <f t="shared" si="38"/>
        <v>1911</v>
      </c>
      <c r="O44" s="24">
        <f t="shared" si="21"/>
        <v>1942</v>
      </c>
      <c r="P44" s="24">
        <f t="shared" si="39"/>
        <v>1942</v>
      </c>
      <c r="Q44" s="26">
        <f t="shared" si="40"/>
        <v>1.52</v>
      </c>
      <c r="R44" s="26">
        <f t="shared" si="41"/>
        <v>1.46</v>
      </c>
      <c r="S44" s="26">
        <f t="shared" si="42"/>
        <v>1.1399999999999999</v>
      </c>
      <c r="T44" s="26">
        <f t="shared" si="43"/>
        <v>1.121</v>
      </c>
      <c r="U44" s="26">
        <f t="shared" si="44"/>
        <v>1.121</v>
      </c>
      <c r="V44" s="25">
        <f t="shared" si="13"/>
        <v>0.72776418138541765</v>
      </c>
      <c r="W44" s="25">
        <f t="shared" si="14"/>
        <v>16833.403918080003</v>
      </c>
      <c r="X44" s="25">
        <f t="shared" si="45"/>
        <v>3022.2429199199978</v>
      </c>
      <c r="Y44" s="25">
        <f t="shared" si="46"/>
        <v>0.13727060050406689</v>
      </c>
      <c r="Z44" s="25">
        <f t="shared" si="17"/>
        <v>2.6808285926414639</v>
      </c>
      <c r="AA44" s="25">
        <f t="shared" si="47"/>
        <v>0.81863530025203346</v>
      </c>
      <c r="AB44" s="24">
        <f t="shared" si="48"/>
        <v>1</v>
      </c>
      <c r="AC44" s="24">
        <f t="shared" si="49"/>
        <v>1</v>
      </c>
    </row>
    <row r="45" spans="1:29">
      <c r="A45" s="30" t="s">
        <v>88</v>
      </c>
      <c r="B45">
        <v>159</v>
      </c>
      <c r="C45">
        <v>6.3</v>
      </c>
      <c r="D45" s="33">
        <v>360</v>
      </c>
      <c r="E45" s="34">
        <v>24.2</v>
      </c>
      <c r="F45">
        <v>520</v>
      </c>
      <c r="G45" s="59">
        <f t="shared" si="0"/>
        <v>25.238095238095237</v>
      </c>
      <c r="H45" s="58">
        <f t="shared" si="1"/>
        <v>0.42958459979736574</v>
      </c>
      <c r="I45" s="23">
        <f t="shared" si="2"/>
        <v>0.13700000000000001</v>
      </c>
      <c r="J45">
        <v>2177</v>
      </c>
      <c r="K45" s="24">
        <f t="shared" si="35"/>
        <v>1434</v>
      </c>
      <c r="L45" s="25">
        <f t="shared" si="36"/>
        <v>3.2704402515723272</v>
      </c>
      <c r="M45" s="24">
        <f t="shared" si="37"/>
        <v>1495</v>
      </c>
      <c r="N45" s="24">
        <f t="shared" si="38"/>
        <v>1911</v>
      </c>
      <c r="O45" s="24">
        <f t="shared" si="21"/>
        <v>1942</v>
      </c>
      <c r="P45" s="24">
        <f t="shared" si="39"/>
        <v>1942</v>
      </c>
      <c r="Q45" s="26">
        <f t="shared" si="40"/>
        <v>1.52</v>
      </c>
      <c r="R45" s="26">
        <f t="shared" si="41"/>
        <v>1.46</v>
      </c>
      <c r="S45" s="26">
        <f t="shared" si="42"/>
        <v>1.1399999999999999</v>
      </c>
      <c r="T45" s="26">
        <f t="shared" si="43"/>
        <v>1.121</v>
      </c>
      <c r="U45" s="26">
        <f t="shared" si="44"/>
        <v>1.121</v>
      </c>
      <c r="V45" s="25">
        <f t="shared" si="13"/>
        <v>0.72776418138541765</v>
      </c>
      <c r="W45" s="25">
        <f t="shared" si="14"/>
        <v>16833.403918080003</v>
      </c>
      <c r="X45" s="25">
        <f t="shared" si="45"/>
        <v>3022.2429199199978</v>
      </c>
      <c r="Y45" s="25">
        <f t="shared" si="46"/>
        <v>0.13727060050406689</v>
      </c>
      <c r="Z45" s="25">
        <f t="shared" si="17"/>
        <v>2.6808285926414639</v>
      </c>
      <c r="AA45" s="25">
        <f t="shared" si="47"/>
        <v>0.81863530025203346</v>
      </c>
      <c r="AB45" s="24">
        <f t="shared" si="48"/>
        <v>1</v>
      </c>
      <c r="AC45" s="24">
        <f t="shared" si="49"/>
        <v>1</v>
      </c>
    </row>
    <row r="46" spans="1:29">
      <c r="G46" s="59"/>
      <c r="H46" s="58"/>
      <c r="I46" s="23"/>
      <c r="K46" s="24"/>
      <c r="L46" s="25"/>
      <c r="M46" s="24"/>
      <c r="N46" s="24"/>
      <c r="O46" s="24"/>
      <c r="P46" s="24"/>
      <c r="Q46" s="26"/>
      <c r="R46" s="26"/>
      <c r="S46" s="26"/>
      <c r="T46" s="26"/>
      <c r="U46" s="26"/>
      <c r="V46" s="25"/>
      <c r="W46" s="25">
        <f t="shared" si="14"/>
        <v>0</v>
      </c>
      <c r="X46" s="25"/>
      <c r="Y46" s="25"/>
      <c r="Z46" s="25"/>
      <c r="AA46" s="25"/>
      <c r="AB46" s="24"/>
      <c r="AC46" s="24"/>
    </row>
    <row r="47" spans="1:29">
      <c r="A47" s="32" t="s">
        <v>89</v>
      </c>
      <c r="B47" s="67">
        <v>2003</v>
      </c>
      <c r="G47" s="59"/>
      <c r="H47" s="58"/>
      <c r="I47" s="23"/>
      <c r="K47" s="24"/>
      <c r="L47" s="25"/>
      <c r="M47" s="24"/>
      <c r="N47" s="24"/>
      <c r="O47" s="24"/>
      <c r="P47" s="24"/>
      <c r="Q47" s="26"/>
      <c r="R47" s="26"/>
      <c r="S47" s="26"/>
      <c r="T47" s="26"/>
      <c r="U47" s="26"/>
      <c r="V47" s="25"/>
      <c r="W47" s="25">
        <f t="shared" si="14"/>
        <v>3151023.8445820003</v>
      </c>
      <c r="X47" s="25"/>
      <c r="Y47" s="25"/>
      <c r="Z47" s="25"/>
      <c r="AA47" s="25"/>
      <c r="AB47" s="24"/>
      <c r="AC47" s="24"/>
    </row>
    <row r="48" spans="1:29">
      <c r="A48" s="30" t="s">
        <v>90</v>
      </c>
      <c r="B48" s="34">
        <v>167.4</v>
      </c>
      <c r="C48" s="40">
        <v>3.32</v>
      </c>
      <c r="D48" s="39">
        <v>354</v>
      </c>
      <c r="E48" s="34">
        <v>40.6</v>
      </c>
      <c r="F48">
        <v>503</v>
      </c>
      <c r="G48" s="59">
        <f t="shared" si="0"/>
        <v>50.421686746987959</v>
      </c>
      <c r="H48" s="58">
        <f t="shared" si="1"/>
        <v>0.84393745193540126</v>
      </c>
      <c r="I48" s="23">
        <f t="shared" si="2"/>
        <v>0.14099999999999999</v>
      </c>
      <c r="J48">
        <v>1704</v>
      </c>
      <c r="K48" s="24">
        <f t="shared" ref="K48:K111" si="50">ROUND((0.85*E48*W48+D48*X48)/1000,0)</f>
        <v>1306</v>
      </c>
      <c r="L48" s="25">
        <f t="shared" ref="L48:L83" si="51">F48/B48</f>
        <v>3.0047789725209078</v>
      </c>
      <c r="M48" s="24">
        <f t="shared" ref="M48:M83" si="52">ROUND((E48*W48+D48*X48)/1000,0)</f>
        <v>1430</v>
      </c>
      <c r="N48" s="24">
        <f t="shared" ref="N48:N83" si="53">IF(E48&lt;1,M48,(ROUND((0.85*E48*W48+6*C48*D48*W48/(B48-2*C48))/1000,0)))</f>
        <v>1591</v>
      </c>
      <c r="O48" s="24">
        <f t="shared" si="21"/>
        <v>1695</v>
      </c>
      <c r="P48" s="24">
        <f t="shared" ref="P48:P83" si="54">ROUND(AC48*O48,0)</f>
        <v>1695</v>
      </c>
      <c r="Q48" s="26">
        <f t="shared" ref="Q48:Q83" si="55">ROUND((J48/K48),2)</f>
        <v>1.3</v>
      </c>
      <c r="R48" s="26">
        <f t="shared" ref="R48:R83" si="56">ROUND((J48/M48),2)</f>
        <v>1.19</v>
      </c>
      <c r="S48" s="26">
        <f t="shared" ref="S48:S83" si="57">ROUND((J48/N48),2)</f>
        <v>1.07</v>
      </c>
      <c r="T48" s="26">
        <f t="shared" ref="T48:T83" si="58">ROUND((J48/O48),3)</f>
        <v>1.0049999999999999</v>
      </c>
      <c r="U48" s="26">
        <f t="shared" ref="U48:U83" si="59">ROUND((J48/P48),3)</f>
        <v>1.0049999999999999</v>
      </c>
      <c r="V48" s="25">
        <f t="shared" si="13"/>
        <v>0.4236534407862238</v>
      </c>
      <c r="W48" s="25">
        <f t="shared" si="14"/>
        <v>20297.651239484803</v>
      </c>
      <c r="X48" s="25">
        <f t="shared" ref="X48:X83" si="60">0.785398*(B48*B48-(B48-2*C48)*(B48-2*C48))</f>
        <v>1711.3684189951978</v>
      </c>
      <c r="Y48" s="25">
        <f t="shared" ref="Y48:Y83" si="61">SQRT((64*M48*F48*F48)/(PI()^3*((B48^4-(B48-2*C48)^4)*200+5.7*(E48+8)^0.33333*((B48-2*C48)^4-H48^4))))</f>
        <v>0.1413684990696393</v>
      </c>
      <c r="Z48" s="25">
        <f t="shared" si="17"/>
        <v>2.6244286602081179</v>
      </c>
      <c r="AA48" s="25">
        <f t="shared" ref="AA48:AA83" si="62">IF((0.25*(3+2*Y48))&gt;1,1,(0.25*(3+2*Y48)))</f>
        <v>0.82068424953481967</v>
      </c>
      <c r="AB48" s="24">
        <f t="shared" ref="AB48:AB83" si="63">IF(Y48&lt;0.2,1,(1+0.158*SQRT(Y48*Y48-0.04)+Y48*Y48))</f>
        <v>1</v>
      </c>
      <c r="AC48" s="24">
        <f t="shared" ref="AC48:AC83" si="64">IF(Y48&lt;0.2,1,(AB48-SQRT(AB48*AB48-4*Y48*Y48))/(2*Y48*Y48))</f>
        <v>1</v>
      </c>
    </row>
    <row r="49" spans="1:29">
      <c r="A49" s="30" t="s">
        <v>91</v>
      </c>
      <c r="B49" s="34">
        <v>167.3</v>
      </c>
      <c r="C49" s="40">
        <v>3.35</v>
      </c>
      <c r="D49" s="39">
        <v>354</v>
      </c>
      <c r="E49" s="34">
        <v>40.6</v>
      </c>
      <c r="F49">
        <v>502</v>
      </c>
      <c r="G49" s="59">
        <f t="shared" si="0"/>
        <v>49.940298507462686</v>
      </c>
      <c r="H49" s="58">
        <f t="shared" si="1"/>
        <v>0.8358801736000846</v>
      </c>
      <c r="I49" s="23">
        <f t="shared" si="2"/>
        <v>0.14099999999999999</v>
      </c>
      <c r="J49">
        <v>1668</v>
      </c>
      <c r="K49" s="24">
        <f t="shared" si="50"/>
        <v>1310</v>
      </c>
      <c r="L49" s="25">
        <f t="shared" si="51"/>
        <v>3.0005977286312011</v>
      </c>
      <c r="M49" s="24">
        <f t="shared" si="52"/>
        <v>1433</v>
      </c>
      <c r="N49" s="24">
        <f t="shared" si="53"/>
        <v>1597</v>
      </c>
      <c r="O49" s="24">
        <f t="shared" si="21"/>
        <v>1701</v>
      </c>
      <c r="P49" s="24">
        <f t="shared" si="54"/>
        <v>1701</v>
      </c>
      <c r="Q49" s="26">
        <f t="shared" si="55"/>
        <v>1.27</v>
      </c>
      <c r="R49" s="26">
        <f t="shared" si="56"/>
        <v>1.1599999999999999</v>
      </c>
      <c r="S49" s="26">
        <f t="shared" si="57"/>
        <v>1.04</v>
      </c>
      <c r="T49" s="26">
        <f t="shared" si="58"/>
        <v>0.98099999999999998</v>
      </c>
      <c r="U49" s="26">
        <f t="shared" si="59"/>
        <v>0.98099999999999998</v>
      </c>
      <c r="V49" s="25">
        <f t="shared" si="13"/>
        <v>0.42624871427882699</v>
      </c>
      <c r="W49" s="25">
        <f t="shared" si="14"/>
        <v>20257.267959280009</v>
      </c>
      <c r="X49" s="25">
        <f t="shared" si="60"/>
        <v>1725.4644281399974</v>
      </c>
      <c r="Y49" s="25">
        <f t="shared" si="61"/>
        <v>0.1410452003199221</v>
      </c>
      <c r="Z49" s="25">
        <f t="shared" si="17"/>
        <v>2.6288575191473198</v>
      </c>
      <c r="AA49" s="25">
        <f t="shared" si="62"/>
        <v>0.82052260015996104</v>
      </c>
      <c r="AB49" s="24">
        <f t="shared" si="63"/>
        <v>1</v>
      </c>
      <c r="AC49" s="24">
        <f t="shared" si="64"/>
        <v>1</v>
      </c>
    </row>
    <row r="50" spans="1:29">
      <c r="A50" s="30" t="s">
        <v>92</v>
      </c>
      <c r="B50" s="34">
        <v>167.5</v>
      </c>
      <c r="C50" s="40">
        <v>3.33</v>
      </c>
      <c r="D50" s="39">
        <v>354</v>
      </c>
      <c r="E50" s="34">
        <v>40.6</v>
      </c>
      <c r="F50">
        <v>503</v>
      </c>
      <c r="G50" s="59">
        <f t="shared" si="0"/>
        <v>50.3003003003003</v>
      </c>
      <c r="H50" s="58">
        <f t="shared" si="1"/>
        <v>0.84190573552275683</v>
      </c>
      <c r="I50" s="23">
        <f t="shared" si="2"/>
        <v>0.14099999999999999</v>
      </c>
      <c r="J50">
        <v>1700</v>
      </c>
      <c r="K50" s="24">
        <f t="shared" si="50"/>
        <v>1309</v>
      </c>
      <c r="L50" s="25">
        <f t="shared" si="51"/>
        <v>3.0029850746268658</v>
      </c>
      <c r="M50" s="24">
        <f t="shared" si="52"/>
        <v>1433</v>
      </c>
      <c r="N50" s="24">
        <f t="shared" si="53"/>
        <v>1595</v>
      </c>
      <c r="O50" s="24">
        <f t="shared" si="21"/>
        <v>1699</v>
      </c>
      <c r="P50" s="24">
        <f t="shared" si="54"/>
        <v>1699</v>
      </c>
      <c r="Q50" s="26">
        <f t="shared" si="55"/>
        <v>1.3</v>
      </c>
      <c r="R50" s="26">
        <f t="shared" si="56"/>
        <v>1.19</v>
      </c>
      <c r="S50" s="26">
        <f t="shared" si="57"/>
        <v>1.07</v>
      </c>
      <c r="T50" s="26">
        <f t="shared" si="58"/>
        <v>1.0009999999999999</v>
      </c>
      <c r="U50" s="26">
        <f t="shared" si="59"/>
        <v>1.0009999999999999</v>
      </c>
      <c r="V50" s="25">
        <f t="shared" si="13"/>
        <v>0.42427250251779813</v>
      </c>
      <c r="W50" s="25">
        <f t="shared" si="14"/>
        <v>20317.857959228801</v>
      </c>
      <c r="X50" s="25">
        <f t="shared" si="60"/>
        <v>1717.4646782711998</v>
      </c>
      <c r="Y50" s="25">
        <f t="shared" si="61"/>
        <v>0.14125763253032628</v>
      </c>
      <c r="Z50" s="25">
        <f t="shared" si="17"/>
        <v>2.6259470169062</v>
      </c>
      <c r="AA50" s="25">
        <f t="shared" si="62"/>
        <v>0.82062881626516315</v>
      </c>
      <c r="AB50" s="24">
        <f t="shared" si="63"/>
        <v>1</v>
      </c>
      <c r="AC50" s="24">
        <f t="shared" si="64"/>
        <v>1</v>
      </c>
    </row>
    <row r="51" spans="1:29">
      <c r="A51" s="30" t="s">
        <v>93</v>
      </c>
      <c r="B51" s="34">
        <v>138.9</v>
      </c>
      <c r="C51" s="40">
        <v>3.29</v>
      </c>
      <c r="D51" s="39">
        <v>331.7</v>
      </c>
      <c r="E51" s="34">
        <v>35.700000000000003</v>
      </c>
      <c r="F51">
        <v>419</v>
      </c>
      <c r="G51" s="59">
        <f t="shared" si="0"/>
        <v>42.218844984802431</v>
      </c>
      <c r="H51" s="58">
        <f t="shared" si="1"/>
        <v>0.66212722843777616</v>
      </c>
      <c r="I51" s="23">
        <f t="shared" si="2"/>
        <v>0.13400000000000001</v>
      </c>
      <c r="J51">
        <v>1140</v>
      </c>
      <c r="K51" s="24">
        <f t="shared" si="50"/>
        <v>882</v>
      </c>
      <c r="L51" s="25">
        <f t="shared" si="51"/>
        <v>3.0165586753059754</v>
      </c>
      <c r="M51" s="24">
        <f t="shared" si="52"/>
        <v>956</v>
      </c>
      <c r="N51" s="24">
        <f t="shared" si="53"/>
        <v>1098</v>
      </c>
      <c r="O51" s="24">
        <f t="shared" si="21"/>
        <v>1165</v>
      </c>
      <c r="P51" s="24">
        <f t="shared" si="54"/>
        <v>1165</v>
      </c>
      <c r="Q51" s="26">
        <f t="shared" si="55"/>
        <v>1.29</v>
      </c>
      <c r="R51" s="26">
        <f t="shared" si="56"/>
        <v>1.19</v>
      </c>
      <c r="S51" s="26">
        <f t="shared" si="57"/>
        <v>1.04</v>
      </c>
      <c r="T51" s="26">
        <f t="shared" si="58"/>
        <v>0.97899999999999998</v>
      </c>
      <c r="U51" s="26">
        <f t="shared" si="59"/>
        <v>0.97899999999999998</v>
      </c>
      <c r="V51" s="25">
        <f t="shared" si="13"/>
        <v>0.48632318596257224</v>
      </c>
      <c r="W51" s="25">
        <f t="shared" si="14"/>
        <v>13751.205599795199</v>
      </c>
      <c r="X51" s="25">
        <f t="shared" si="60"/>
        <v>1401.6429477848028</v>
      </c>
      <c r="Y51" s="25">
        <f t="shared" si="61"/>
        <v>0.13401121119015405</v>
      </c>
      <c r="Z51" s="25">
        <f t="shared" si="17"/>
        <v>2.7260956733012356</v>
      </c>
      <c r="AA51" s="25">
        <f t="shared" si="62"/>
        <v>0.81700560559507707</v>
      </c>
      <c r="AB51" s="24">
        <f t="shared" si="63"/>
        <v>1</v>
      </c>
      <c r="AC51" s="24">
        <f t="shared" si="64"/>
        <v>1</v>
      </c>
    </row>
    <row r="52" spans="1:29">
      <c r="A52" s="30" t="s">
        <v>94</v>
      </c>
      <c r="B52" s="34">
        <v>139</v>
      </c>
      <c r="C52" s="40">
        <v>3.29</v>
      </c>
      <c r="D52" s="39">
        <v>331.7</v>
      </c>
      <c r="E52" s="34">
        <v>35.700000000000003</v>
      </c>
      <c r="F52">
        <v>419</v>
      </c>
      <c r="G52" s="59">
        <f t="shared" si="0"/>
        <v>42.249240121580549</v>
      </c>
      <c r="H52" s="58">
        <f t="shared" si="1"/>
        <v>0.66260392190677386</v>
      </c>
      <c r="I52" s="23">
        <f t="shared" si="2"/>
        <v>0.13400000000000001</v>
      </c>
      <c r="J52">
        <v>1220</v>
      </c>
      <c r="K52" s="24">
        <f t="shared" si="50"/>
        <v>883</v>
      </c>
      <c r="L52" s="25">
        <f t="shared" si="51"/>
        <v>3.014388489208633</v>
      </c>
      <c r="M52" s="24">
        <f t="shared" si="52"/>
        <v>957</v>
      </c>
      <c r="N52" s="24">
        <f t="shared" si="53"/>
        <v>1099</v>
      </c>
      <c r="O52" s="24">
        <f t="shared" si="21"/>
        <v>1167</v>
      </c>
      <c r="P52" s="24">
        <f t="shared" si="54"/>
        <v>1167</v>
      </c>
      <c r="Q52" s="26">
        <f t="shared" si="55"/>
        <v>1.38</v>
      </c>
      <c r="R52" s="26">
        <f t="shared" si="56"/>
        <v>1.27</v>
      </c>
      <c r="S52" s="26">
        <f t="shared" si="57"/>
        <v>1.1100000000000001</v>
      </c>
      <c r="T52" s="26">
        <f t="shared" si="58"/>
        <v>1.0449999999999999</v>
      </c>
      <c r="U52" s="26">
        <f t="shared" si="59"/>
        <v>1.0449999999999999</v>
      </c>
      <c r="V52" s="25">
        <f t="shared" si="13"/>
        <v>0.48617325550267954</v>
      </c>
      <c r="W52" s="25">
        <f t="shared" si="14"/>
        <v>13771.998226447198</v>
      </c>
      <c r="X52" s="25">
        <f t="shared" si="60"/>
        <v>1402.6765315528019</v>
      </c>
      <c r="Y52" s="25">
        <f t="shared" si="61"/>
        <v>0.13391583033935994</v>
      </c>
      <c r="Z52" s="25">
        <f t="shared" si="17"/>
        <v>2.7274257821850054</v>
      </c>
      <c r="AA52" s="25">
        <f t="shared" si="62"/>
        <v>0.81695791516967997</v>
      </c>
      <c r="AB52" s="24">
        <f t="shared" si="63"/>
        <v>1</v>
      </c>
      <c r="AC52" s="24">
        <f t="shared" si="64"/>
        <v>1</v>
      </c>
    </row>
    <row r="53" spans="1:29">
      <c r="A53" s="30" t="s">
        <v>95</v>
      </c>
      <c r="B53" s="34">
        <v>139.5</v>
      </c>
      <c r="C53" s="40">
        <v>3.37</v>
      </c>
      <c r="D53" s="39">
        <v>331.7</v>
      </c>
      <c r="E53" s="34">
        <v>35.700000000000003</v>
      </c>
      <c r="F53">
        <v>419</v>
      </c>
      <c r="G53" s="59">
        <f t="shared" si="0"/>
        <v>41.394658753709194</v>
      </c>
      <c r="H53" s="58">
        <f t="shared" si="1"/>
        <v>0.6492013384683375</v>
      </c>
      <c r="I53" s="23">
        <f t="shared" si="2"/>
        <v>0.13300000000000001</v>
      </c>
      <c r="J53">
        <v>1180</v>
      </c>
      <c r="K53" s="24">
        <f t="shared" si="50"/>
        <v>898</v>
      </c>
      <c r="L53" s="25">
        <f t="shared" si="51"/>
        <v>3.0035842293906811</v>
      </c>
      <c r="M53" s="24">
        <f t="shared" si="52"/>
        <v>972</v>
      </c>
      <c r="N53" s="24">
        <f t="shared" si="53"/>
        <v>1119</v>
      </c>
      <c r="O53" s="24">
        <f t="shared" si="21"/>
        <v>1188</v>
      </c>
      <c r="P53" s="24">
        <f t="shared" si="54"/>
        <v>1188</v>
      </c>
      <c r="Q53" s="26">
        <f t="shared" si="55"/>
        <v>1.31</v>
      </c>
      <c r="R53" s="26">
        <f t="shared" si="56"/>
        <v>1.21</v>
      </c>
      <c r="S53" s="26">
        <f t="shared" si="57"/>
        <v>1.05</v>
      </c>
      <c r="T53" s="26">
        <f t="shared" si="58"/>
        <v>0.99299999999999999</v>
      </c>
      <c r="U53" s="26">
        <f t="shared" si="59"/>
        <v>0.99299999999999999</v>
      </c>
      <c r="V53" s="25">
        <f t="shared" si="13"/>
        <v>0.4918274163540523</v>
      </c>
      <c r="W53" s="25">
        <f t="shared" si="14"/>
        <v>13842.810652604798</v>
      </c>
      <c r="X53" s="25">
        <f t="shared" si="60"/>
        <v>1441.230776895203</v>
      </c>
      <c r="Y53" s="25">
        <f t="shared" si="61"/>
        <v>0.13321706666079314</v>
      </c>
      <c r="Z53" s="25">
        <f t="shared" si="17"/>
        <v>2.7371796432203328</v>
      </c>
      <c r="AA53" s="25">
        <f t="shared" si="62"/>
        <v>0.81660853333039651</v>
      </c>
      <c r="AB53" s="24">
        <f t="shared" si="63"/>
        <v>1</v>
      </c>
      <c r="AC53" s="24">
        <f t="shared" si="64"/>
        <v>1</v>
      </c>
    </row>
    <row r="54" spans="1:29">
      <c r="A54" s="30" t="s">
        <v>96</v>
      </c>
      <c r="B54" s="34">
        <v>139.9</v>
      </c>
      <c r="C54" s="40">
        <v>3.58</v>
      </c>
      <c r="D54" s="39">
        <v>325.3</v>
      </c>
      <c r="E54" s="34">
        <v>35.700000000000003</v>
      </c>
      <c r="F54">
        <v>416</v>
      </c>
      <c r="G54" s="59">
        <f t="shared" si="0"/>
        <v>39.078212290502798</v>
      </c>
      <c r="H54" s="58">
        <f t="shared" si="1"/>
        <v>0.60104692473288701</v>
      </c>
      <c r="I54" s="23">
        <f t="shared" si="2"/>
        <v>0.13100000000000001</v>
      </c>
      <c r="J54">
        <v>1222</v>
      </c>
      <c r="K54" s="24">
        <f t="shared" si="50"/>
        <v>919</v>
      </c>
      <c r="L54" s="25">
        <f t="shared" si="51"/>
        <v>2.9735525375268046</v>
      </c>
      <c r="M54" s="24">
        <f t="shared" si="52"/>
        <v>993</v>
      </c>
      <c r="N54" s="24">
        <f t="shared" si="53"/>
        <v>1148</v>
      </c>
      <c r="O54" s="24">
        <f t="shared" si="21"/>
        <v>1220</v>
      </c>
      <c r="P54" s="24">
        <f t="shared" si="54"/>
        <v>1220</v>
      </c>
      <c r="Q54" s="26">
        <f t="shared" si="55"/>
        <v>1.33</v>
      </c>
      <c r="R54" s="26">
        <f t="shared" si="56"/>
        <v>1.23</v>
      </c>
      <c r="S54" s="26">
        <f t="shared" si="57"/>
        <v>1.06</v>
      </c>
      <c r="T54" s="26">
        <f t="shared" si="58"/>
        <v>1.002</v>
      </c>
      <c r="U54" s="26">
        <f t="shared" si="59"/>
        <v>1.002</v>
      </c>
      <c r="V54" s="25">
        <f t="shared" si="13"/>
        <v>0.50225839117992599</v>
      </c>
      <c r="W54" s="25">
        <f t="shared" si="14"/>
        <v>13838.640189224803</v>
      </c>
      <c r="X54" s="25">
        <f t="shared" si="60"/>
        <v>1533.1773207551998</v>
      </c>
      <c r="Y54" s="25">
        <f t="shared" si="61"/>
        <v>0.13073341360168811</v>
      </c>
      <c r="Z54" s="25">
        <f t="shared" si="17"/>
        <v>2.7719826807119214</v>
      </c>
      <c r="AA54" s="25">
        <f t="shared" si="62"/>
        <v>0.81536670680084411</v>
      </c>
      <c r="AB54" s="24">
        <f t="shared" si="63"/>
        <v>1</v>
      </c>
      <c r="AC54" s="24">
        <f t="shared" si="64"/>
        <v>1</v>
      </c>
    </row>
    <row r="55" spans="1:29">
      <c r="A55" s="30" t="s">
        <v>97</v>
      </c>
      <c r="B55" s="34">
        <v>139.9</v>
      </c>
      <c r="C55" s="40">
        <v>3.54</v>
      </c>
      <c r="D55" s="39">
        <v>325.3</v>
      </c>
      <c r="E55" s="34">
        <v>35.700000000000003</v>
      </c>
      <c r="F55">
        <v>421</v>
      </c>
      <c r="G55" s="59">
        <f t="shared" si="0"/>
        <v>39.51977401129944</v>
      </c>
      <c r="H55" s="58">
        <f t="shared" si="1"/>
        <v>0.6078384154078349</v>
      </c>
      <c r="I55" s="23">
        <f t="shared" si="2"/>
        <v>0.13200000000000001</v>
      </c>
      <c r="J55">
        <v>1242</v>
      </c>
      <c r="K55" s="24">
        <f t="shared" si="50"/>
        <v>914</v>
      </c>
      <c r="L55" s="25">
        <f t="shared" si="51"/>
        <v>3.0092923516797709</v>
      </c>
      <c r="M55" s="24">
        <f t="shared" si="52"/>
        <v>988</v>
      </c>
      <c r="N55" s="24">
        <f t="shared" si="53"/>
        <v>1141</v>
      </c>
      <c r="O55" s="24">
        <f t="shared" si="21"/>
        <v>1211</v>
      </c>
      <c r="P55" s="24">
        <f t="shared" si="54"/>
        <v>1211</v>
      </c>
      <c r="Q55" s="26">
        <f t="shared" si="55"/>
        <v>1.36</v>
      </c>
      <c r="R55" s="26">
        <f t="shared" si="56"/>
        <v>1.26</v>
      </c>
      <c r="S55" s="26">
        <f t="shared" si="57"/>
        <v>1.0900000000000001</v>
      </c>
      <c r="T55" s="26">
        <f t="shared" si="58"/>
        <v>1.026</v>
      </c>
      <c r="U55" s="26">
        <f t="shared" si="59"/>
        <v>1.026</v>
      </c>
      <c r="V55" s="25">
        <f t="shared" si="13"/>
        <v>0.49930642625481608</v>
      </c>
      <c r="W55" s="25">
        <f t="shared" si="14"/>
        <v>13855.325812655199</v>
      </c>
      <c r="X55" s="25">
        <f t="shared" si="60"/>
        <v>1516.4916973248025</v>
      </c>
      <c r="Y55" s="25">
        <f t="shared" si="61"/>
        <v>0.13240185328238113</v>
      </c>
      <c r="Z55" s="25">
        <f t="shared" si="17"/>
        <v>2.7485799770703059</v>
      </c>
      <c r="AA55" s="25">
        <f t="shared" si="62"/>
        <v>0.81620092664119059</v>
      </c>
      <c r="AB55" s="24">
        <f t="shared" si="63"/>
        <v>1</v>
      </c>
      <c r="AC55" s="24">
        <f t="shared" si="64"/>
        <v>1</v>
      </c>
    </row>
    <row r="56" spans="1:29">
      <c r="A56" s="30" t="s">
        <v>98</v>
      </c>
      <c r="B56" s="34">
        <v>139.9</v>
      </c>
      <c r="C56" s="40">
        <v>3.48</v>
      </c>
      <c r="D56" s="39">
        <v>325.3</v>
      </c>
      <c r="E56" s="34">
        <v>35.700000000000003</v>
      </c>
      <c r="F56">
        <v>419</v>
      </c>
      <c r="G56" s="59">
        <f t="shared" si="0"/>
        <v>40.201149425287355</v>
      </c>
      <c r="H56" s="58">
        <f t="shared" si="1"/>
        <v>0.61831838808728024</v>
      </c>
      <c r="I56" s="23">
        <f t="shared" si="2"/>
        <v>0.13200000000000001</v>
      </c>
      <c r="J56">
        <v>1300</v>
      </c>
      <c r="K56" s="24">
        <f t="shared" si="50"/>
        <v>906</v>
      </c>
      <c r="L56" s="25">
        <f t="shared" si="51"/>
        <v>2.9949964260185844</v>
      </c>
      <c r="M56" s="24">
        <f t="shared" si="52"/>
        <v>981</v>
      </c>
      <c r="N56" s="24">
        <f t="shared" si="53"/>
        <v>1130</v>
      </c>
      <c r="O56" s="24">
        <f t="shared" si="21"/>
        <v>1201</v>
      </c>
      <c r="P56" s="24">
        <f t="shared" si="54"/>
        <v>1201</v>
      </c>
      <c r="Q56" s="26">
        <f t="shared" si="55"/>
        <v>1.43</v>
      </c>
      <c r="R56" s="26">
        <f t="shared" si="56"/>
        <v>1.33</v>
      </c>
      <c r="S56" s="26">
        <f t="shared" si="57"/>
        <v>1.1499999999999999</v>
      </c>
      <c r="T56" s="26">
        <f t="shared" si="58"/>
        <v>1.0820000000000001</v>
      </c>
      <c r="U56" s="26">
        <f t="shared" si="59"/>
        <v>1.0820000000000001</v>
      </c>
      <c r="V56" s="25">
        <f t="shared" si="13"/>
        <v>0.49456357535945822</v>
      </c>
      <c r="W56" s="25">
        <f t="shared" si="14"/>
        <v>13880.373097352802</v>
      </c>
      <c r="X56" s="25">
        <f t="shared" si="60"/>
        <v>1491.444412627201</v>
      </c>
      <c r="Y56" s="25">
        <f t="shared" si="61"/>
        <v>0.13195522632500054</v>
      </c>
      <c r="Z56" s="25">
        <f t="shared" si="17"/>
        <v>2.7548354028136863</v>
      </c>
      <c r="AA56" s="25">
        <f t="shared" si="62"/>
        <v>0.81597761316250028</v>
      </c>
      <c r="AB56" s="24">
        <f t="shared" si="63"/>
        <v>1</v>
      </c>
      <c r="AC56" s="24">
        <f t="shared" si="64"/>
        <v>1</v>
      </c>
    </row>
    <row r="57" spans="1:29">
      <c r="A57" s="30" t="s">
        <v>99</v>
      </c>
      <c r="B57" s="34">
        <v>133.4</v>
      </c>
      <c r="C57" s="40">
        <v>5.21</v>
      </c>
      <c r="D57" s="39">
        <v>351</v>
      </c>
      <c r="E57" s="34">
        <v>37.200000000000003</v>
      </c>
      <c r="F57">
        <v>396</v>
      </c>
      <c r="G57" s="59">
        <f t="shared" si="0"/>
        <v>25.604606525911709</v>
      </c>
      <c r="H57" s="58">
        <f t="shared" si="1"/>
        <v>0.42492751255768368</v>
      </c>
      <c r="I57" s="23">
        <f t="shared" si="2"/>
        <v>0.13100000000000001</v>
      </c>
      <c r="J57">
        <v>1612</v>
      </c>
      <c r="K57" s="24">
        <f t="shared" si="50"/>
        <v>1112</v>
      </c>
      <c r="L57" s="25">
        <f t="shared" si="51"/>
        <v>2.9685157421289352</v>
      </c>
      <c r="M57" s="24">
        <f t="shared" si="52"/>
        <v>1178</v>
      </c>
      <c r="N57" s="24">
        <f t="shared" si="53"/>
        <v>1435</v>
      </c>
      <c r="O57" s="24">
        <f t="shared" si="21"/>
        <v>1493</v>
      </c>
      <c r="P57" s="24">
        <f t="shared" si="54"/>
        <v>1493</v>
      </c>
      <c r="Q57" s="26">
        <f t="shared" si="55"/>
        <v>1.45</v>
      </c>
      <c r="R57" s="26">
        <f t="shared" si="56"/>
        <v>1.37</v>
      </c>
      <c r="S57" s="26">
        <f t="shared" si="57"/>
        <v>1.1200000000000001</v>
      </c>
      <c r="T57" s="26">
        <f t="shared" si="58"/>
        <v>1.08</v>
      </c>
      <c r="U57" s="26">
        <f t="shared" si="59"/>
        <v>1.08</v>
      </c>
      <c r="V57" s="25">
        <f t="shared" si="13"/>
        <v>0.62517770114020466</v>
      </c>
      <c r="W57" s="25">
        <f t="shared" si="14"/>
        <v>11878.422497999201</v>
      </c>
      <c r="X57" s="25">
        <f t="shared" si="60"/>
        <v>2098.1747348808008</v>
      </c>
      <c r="Y57" s="25">
        <f t="shared" si="61"/>
        <v>0.13095820886497572</v>
      </c>
      <c r="Z57" s="25">
        <f t="shared" si="17"/>
        <v>2.7688240279730341</v>
      </c>
      <c r="AA57" s="25">
        <f t="shared" si="62"/>
        <v>0.81547910443248783</v>
      </c>
      <c r="AB57" s="24">
        <f t="shared" si="63"/>
        <v>1</v>
      </c>
      <c r="AC57" s="24">
        <f t="shared" si="64"/>
        <v>1</v>
      </c>
    </row>
    <row r="58" spans="1:29">
      <c r="A58" s="30" t="s">
        <v>100</v>
      </c>
      <c r="B58" s="34">
        <v>133.19999999999999</v>
      </c>
      <c r="C58" s="40">
        <v>5.0599999999999996</v>
      </c>
      <c r="D58" s="39">
        <v>351</v>
      </c>
      <c r="E58" s="34">
        <v>37.200000000000003</v>
      </c>
      <c r="F58">
        <v>397</v>
      </c>
      <c r="G58" s="59">
        <f t="shared" si="0"/>
        <v>26.324110671936758</v>
      </c>
      <c r="H58" s="58">
        <f t="shared" si="1"/>
        <v>0.43686821966192918</v>
      </c>
      <c r="I58" s="23">
        <f t="shared" si="2"/>
        <v>0.13200000000000001</v>
      </c>
      <c r="J58">
        <v>1580</v>
      </c>
      <c r="K58" s="24">
        <f t="shared" si="50"/>
        <v>1091</v>
      </c>
      <c r="L58" s="25">
        <f t="shared" si="51"/>
        <v>2.9804804804804808</v>
      </c>
      <c r="M58" s="24">
        <f t="shared" si="52"/>
        <v>1158</v>
      </c>
      <c r="N58" s="24">
        <f t="shared" si="53"/>
        <v>1406</v>
      </c>
      <c r="O58" s="24">
        <f t="shared" si="21"/>
        <v>1464</v>
      </c>
      <c r="P58" s="24">
        <f t="shared" si="54"/>
        <v>1464</v>
      </c>
      <c r="Q58" s="26">
        <f t="shared" si="55"/>
        <v>1.45</v>
      </c>
      <c r="R58" s="26">
        <f t="shared" si="56"/>
        <v>1.36</v>
      </c>
      <c r="S58" s="26">
        <f t="shared" si="57"/>
        <v>1.1200000000000001</v>
      </c>
      <c r="T58" s="26">
        <f t="shared" si="58"/>
        <v>1.079</v>
      </c>
      <c r="U58" s="26">
        <f t="shared" si="59"/>
        <v>1.079</v>
      </c>
      <c r="V58" s="25">
        <f t="shared" si="13"/>
        <v>0.61742409795061581</v>
      </c>
      <c r="W58" s="25">
        <f t="shared" si="14"/>
        <v>11897.748001187198</v>
      </c>
      <c r="X58" s="25">
        <f t="shared" si="60"/>
        <v>2036.9718103328009</v>
      </c>
      <c r="Y58" s="25">
        <f t="shared" si="61"/>
        <v>0.13169735954850528</v>
      </c>
      <c r="Z58" s="25">
        <f t="shared" si="17"/>
        <v>2.7584501550574734</v>
      </c>
      <c r="AA58" s="25">
        <f t="shared" si="62"/>
        <v>0.81584867977425268</v>
      </c>
      <c r="AB58" s="24">
        <f t="shared" si="63"/>
        <v>1</v>
      </c>
      <c r="AC58" s="24">
        <f t="shared" si="64"/>
        <v>1</v>
      </c>
    </row>
    <row r="59" spans="1:29">
      <c r="A59" s="30" t="s">
        <v>101</v>
      </c>
      <c r="B59" s="34">
        <v>133.4</v>
      </c>
      <c r="C59" s="40">
        <v>5.23</v>
      </c>
      <c r="D59" s="39">
        <v>351</v>
      </c>
      <c r="E59" s="34">
        <v>37.200000000000003</v>
      </c>
      <c r="F59">
        <v>398</v>
      </c>
      <c r="G59" s="59">
        <f t="shared" si="0"/>
        <v>25.506692160611852</v>
      </c>
      <c r="H59" s="58">
        <f t="shared" si="1"/>
        <v>0.42330255075057965</v>
      </c>
      <c r="I59" s="23">
        <f t="shared" si="2"/>
        <v>0.13200000000000001</v>
      </c>
      <c r="J59">
        <v>1640</v>
      </c>
      <c r="K59" s="24">
        <f t="shared" si="50"/>
        <v>1115</v>
      </c>
      <c r="L59" s="25">
        <f t="shared" si="51"/>
        <v>2.9835082458770614</v>
      </c>
      <c r="M59" s="24">
        <f t="shared" si="52"/>
        <v>1181</v>
      </c>
      <c r="N59" s="24">
        <f t="shared" si="53"/>
        <v>1439</v>
      </c>
      <c r="O59" s="24">
        <f t="shared" si="21"/>
        <v>1495</v>
      </c>
      <c r="P59" s="24">
        <f t="shared" si="54"/>
        <v>1495</v>
      </c>
      <c r="Q59" s="26">
        <f t="shared" si="55"/>
        <v>1.47</v>
      </c>
      <c r="R59" s="26">
        <f t="shared" si="56"/>
        <v>1.39</v>
      </c>
      <c r="S59" s="26">
        <f t="shared" si="57"/>
        <v>1.1399999999999999</v>
      </c>
      <c r="T59" s="26">
        <f t="shared" si="58"/>
        <v>1.097</v>
      </c>
      <c r="U59" s="26">
        <f t="shared" si="59"/>
        <v>1.097</v>
      </c>
      <c r="V59" s="25">
        <f t="shared" si="13"/>
        <v>0.62588576529419782</v>
      </c>
      <c r="W59" s="25">
        <f t="shared" si="14"/>
        <v>11870.6966949528</v>
      </c>
      <c r="X59" s="25">
        <f t="shared" si="60"/>
        <v>2105.9005379272012</v>
      </c>
      <c r="Y59" s="25">
        <f t="shared" si="61"/>
        <v>0.13162897605505061</v>
      </c>
      <c r="Z59" s="25">
        <f t="shared" si="17"/>
        <v>2.7594091277156827</v>
      </c>
      <c r="AA59" s="25">
        <f t="shared" si="62"/>
        <v>0.81581448802752532</v>
      </c>
      <c r="AB59" s="24">
        <f t="shared" si="63"/>
        <v>1</v>
      </c>
      <c r="AC59" s="24">
        <f t="shared" si="64"/>
        <v>1</v>
      </c>
    </row>
    <row r="60" spans="1:29">
      <c r="A60" s="30" t="s">
        <v>102</v>
      </c>
      <c r="B60" s="34">
        <v>167</v>
      </c>
      <c r="C60" s="40">
        <v>3.37</v>
      </c>
      <c r="D60" s="39">
        <v>354</v>
      </c>
      <c r="E60" s="34">
        <v>56.5</v>
      </c>
      <c r="F60">
        <v>503</v>
      </c>
      <c r="G60" s="59">
        <f t="shared" si="0"/>
        <v>49.554896142433236</v>
      </c>
      <c r="H60" s="58">
        <f t="shared" si="1"/>
        <v>0.82942946734852785</v>
      </c>
      <c r="I60" s="23">
        <f t="shared" si="2"/>
        <v>0.154</v>
      </c>
      <c r="J60">
        <v>2075</v>
      </c>
      <c r="K60" s="24">
        <f t="shared" si="50"/>
        <v>1582</v>
      </c>
      <c r="L60" s="25">
        <f t="shared" si="51"/>
        <v>3.0119760479041915</v>
      </c>
      <c r="M60" s="24">
        <f t="shared" si="52"/>
        <v>1753</v>
      </c>
      <c r="N60" s="24">
        <f t="shared" si="53"/>
        <v>1870</v>
      </c>
      <c r="O60" s="24">
        <f t="shared" si="21"/>
        <v>2001</v>
      </c>
      <c r="P60" s="24">
        <f t="shared" si="54"/>
        <v>2001</v>
      </c>
      <c r="Q60" s="26">
        <f t="shared" si="55"/>
        <v>1.31</v>
      </c>
      <c r="R60" s="26">
        <f t="shared" si="56"/>
        <v>1.18</v>
      </c>
      <c r="S60" s="26">
        <f t="shared" si="57"/>
        <v>1.1100000000000001</v>
      </c>
      <c r="T60" s="26">
        <f t="shared" si="58"/>
        <v>1.0369999999999999</v>
      </c>
      <c r="U60" s="26">
        <f t="shared" si="59"/>
        <v>1.0369999999999999</v>
      </c>
      <c r="V60" s="25">
        <f t="shared" si="13"/>
        <v>0.3498355657075311</v>
      </c>
      <c r="W60" s="25">
        <f t="shared" si="14"/>
        <v>20171.587006504797</v>
      </c>
      <c r="X60" s="25">
        <f t="shared" si="60"/>
        <v>1732.3778154952035</v>
      </c>
      <c r="Y60" s="25">
        <f t="shared" si="61"/>
        <v>0.15378122964192131</v>
      </c>
      <c r="Z60" s="25">
        <f t="shared" si="17"/>
        <v>2.4570745836575387</v>
      </c>
      <c r="AA60" s="25">
        <f t="shared" si="62"/>
        <v>0.82689061482096071</v>
      </c>
      <c r="AB60" s="24">
        <f t="shared" si="63"/>
        <v>1</v>
      </c>
      <c r="AC60" s="24">
        <f t="shared" si="64"/>
        <v>1</v>
      </c>
    </row>
    <row r="61" spans="1:29">
      <c r="A61" s="30" t="s">
        <v>103</v>
      </c>
      <c r="B61" s="34">
        <v>167.1</v>
      </c>
      <c r="C61" s="40">
        <v>3.33</v>
      </c>
      <c r="D61" s="39">
        <v>354</v>
      </c>
      <c r="E61" s="34">
        <v>56.5</v>
      </c>
      <c r="F61">
        <v>503</v>
      </c>
      <c r="G61" s="59">
        <f t="shared" si="0"/>
        <v>50.18018018018018</v>
      </c>
      <c r="H61" s="58">
        <f t="shared" si="1"/>
        <v>0.83989521436329939</v>
      </c>
      <c r="I61" s="23">
        <f t="shared" si="2"/>
        <v>0.154</v>
      </c>
      <c r="J61">
        <v>2105</v>
      </c>
      <c r="K61" s="24">
        <f t="shared" si="50"/>
        <v>1577</v>
      </c>
      <c r="L61" s="25">
        <f t="shared" si="51"/>
        <v>3.01017354877319</v>
      </c>
      <c r="M61" s="24">
        <f t="shared" si="52"/>
        <v>1749</v>
      </c>
      <c r="N61" s="24">
        <f t="shared" si="53"/>
        <v>1862</v>
      </c>
      <c r="O61" s="24">
        <f t="shared" si="21"/>
        <v>1994</v>
      </c>
      <c r="P61" s="24">
        <f t="shared" si="54"/>
        <v>1994</v>
      </c>
      <c r="Q61" s="26">
        <f t="shared" si="55"/>
        <v>1.33</v>
      </c>
      <c r="R61" s="26">
        <f t="shared" si="56"/>
        <v>1.2</v>
      </c>
      <c r="S61" s="26">
        <f t="shared" si="57"/>
        <v>1.1299999999999999</v>
      </c>
      <c r="T61" s="26">
        <f t="shared" si="58"/>
        <v>1.056</v>
      </c>
      <c r="U61" s="26">
        <f t="shared" si="59"/>
        <v>1.056</v>
      </c>
      <c r="V61" s="25">
        <f t="shared" si="13"/>
        <v>0.34677023871665491</v>
      </c>
      <c r="W61" s="25">
        <f t="shared" si="14"/>
        <v>20216.9248914528</v>
      </c>
      <c r="X61" s="25">
        <f t="shared" si="60"/>
        <v>1713.2800777272016</v>
      </c>
      <c r="Y61" s="25">
        <f t="shared" si="61"/>
        <v>0.15390996017546812</v>
      </c>
      <c r="Z61" s="25">
        <f t="shared" si="17"/>
        <v>2.4553664260544812</v>
      </c>
      <c r="AA61" s="25">
        <f t="shared" si="62"/>
        <v>0.82695498008773405</v>
      </c>
      <c r="AB61" s="24">
        <f t="shared" si="63"/>
        <v>1</v>
      </c>
      <c r="AC61" s="24">
        <f t="shared" si="64"/>
        <v>1</v>
      </c>
    </row>
    <row r="62" spans="1:29">
      <c r="A62" s="30" t="s">
        <v>104</v>
      </c>
      <c r="B62" s="34">
        <v>167.8</v>
      </c>
      <c r="C62" s="40">
        <v>3.33</v>
      </c>
      <c r="D62" s="39">
        <v>354</v>
      </c>
      <c r="E62" s="34">
        <v>56.5</v>
      </c>
      <c r="F62">
        <v>504</v>
      </c>
      <c r="G62" s="59">
        <f t="shared" si="0"/>
        <v>50.390390390390394</v>
      </c>
      <c r="H62" s="58">
        <f t="shared" si="1"/>
        <v>0.84341362639234985</v>
      </c>
      <c r="I62" s="23">
        <f t="shared" si="2"/>
        <v>0.154</v>
      </c>
      <c r="J62">
        <v>2055</v>
      </c>
      <c r="K62" s="24">
        <f t="shared" si="50"/>
        <v>1589</v>
      </c>
      <c r="L62" s="25">
        <f t="shared" si="51"/>
        <v>3.00357568533969</v>
      </c>
      <c r="M62" s="24">
        <f t="shared" si="52"/>
        <v>1761</v>
      </c>
      <c r="N62" s="24">
        <f t="shared" si="53"/>
        <v>1875</v>
      </c>
      <c r="O62" s="24">
        <f t="shared" si="21"/>
        <v>2008</v>
      </c>
      <c r="P62" s="24">
        <f t="shared" si="54"/>
        <v>2008</v>
      </c>
      <c r="Q62" s="26">
        <f t="shared" si="55"/>
        <v>1.29</v>
      </c>
      <c r="R62" s="26">
        <f t="shared" si="56"/>
        <v>1.17</v>
      </c>
      <c r="S62" s="26">
        <f t="shared" si="57"/>
        <v>1.1000000000000001</v>
      </c>
      <c r="T62" s="26">
        <f t="shared" si="58"/>
        <v>1.0229999999999999</v>
      </c>
      <c r="U62" s="26">
        <f t="shared" si="59"/>
        <v>1.0229999999999999</v>
      </c>
      <c r="V62" s="25">
        <f t="shared" si="13"/>
        <v>0.34587933421489858</v>
      </c>
      <c r="W62" s="25">
        <f t="shared" si="14"/>
        <v>20393.722693640804</v>
      </c>
      <c r="X62" s="25">
        <f t="shared" si="60"/>
        <v>1720.603128679199</v>
      </c>
      <c r="Y62" s="25">
        <f t="shared" si="61"/>
        <v>0.15361778407036381</v>
      </c>
      <c r="Z62" s="25">
        <f t="shared" si="17"/>
        <v>2.4592441956039814</v>
      </c>
      <c r="AA62" s="25">
        <f t="shared" si="62"/>
        <v>0.82680889203518193</v>
      </c>
      <c r="AB62" s="24">
        <f t="shared" si="63"/>
        <v>1</v>
      </c>
      <c r="AC62" s="24">
        <f t="shared" si="64"/>
        <v>1</v>
      </c>
    </row>
    <row r="63" spans="1:29">
      <c r="A63" s="30" t="s">
        <v>105</v>
      </c>
      <c r="B63" s="34">
        <v>138.6</v>
      </c>
      <c r="C63" s="40">
        <v>3.31</v>
      </c>
      <c r="D63" s="39">
        <v>331.7</v>
      </c>
      <c r="E63" s="34">
        <v>50</v>
      </c>
      <c r="F63">
        <v>418</v>
      </c>
      <c r="G63" s="59">
        <f t="shared" si="0"/>
        <v>41.873111782477338</v>
      </c>
      <c r="H63" s="58">
        <f t="shared" si="1"/>
        <v>0.65670502024811972</v>
      </c>
      <c r="I63" s="23">
        <f t="shared" si="2"/>
        <v>0.14499999999999999</v>
      </c>
      <c r="J63">
        <v>1490</v>
      </c>
      <c r="K63" s="24">
        <f t="shared" si="50"/>
        <v>1048</v>
      </c>
      <c r="L63" s="25">
        <f t="shared" si="51"/>
        <v>3.0158730158730158</v>
      </c>
      <c r="M63" s="24">
        <f t="shared" si="52"/>
        <v>1151</v>
      </c>
      <c r="N63" s="24">
        <f t="shared" si="53"/>
        <v>1264</v>
      </c>
      <c r="O63" s="24">
        <f t="shared" si="21"/>
        <v>1347</v>
      </c>
      <c r="P63" s="24">
        <f t="shared" si="54"/>
        <v>1347</v>
      </c>
      <c r="Q63" s="26">
        <f t="shared" si="55"/>
        <v>1.42</v>
      </c>
      <c r="R63" s="26">
        <f t="shared" si="56"/>
        <v>1.29</v>
      </c>
      <c r="S63" s="26">
        <f t="shared" si="57"/>
        <v>1.18</v>
      </c>
      <c r="T63" s="26">
        <f t="shared" si="58"/>
        <v>1.1060000000000001</v>
      </c>
      <c r="U63" s="26">
        <f t="shared" si="59"/>
        <v>1.1060000000000001</v>
      </c>
      <c r="V63" s="25">
        <f t="shared" si="13"/>
        <v>0.40542788965071902</v>
      </c>
      <c r="W63" s="25">
        <f t="shared" si="14"/>
        <v>13680.628164719199</v>
      </c>
      <c r="X63" s="25">
        <f t="shared" si="60"/>
        <v>1406.8359993608008</v>
      </c>
      <c r="Y63" s="25">
        <f t="shared" si="61"/>
        <v>0.14473223137396843</v>
      </c>
      <c r="Z63" s="25">
        <f t="shared" si="17"/>
        <v>2.5785598391558793</v>
      </c>
      <c r="AA63" s="25">
        <f t="shared" si="62"/>
        <v>0.82236611568698426</v>
      </c>
      <c r="AB63" s="24">
        <f t="shared" si="63"/>
        <v>1</v>
      </c>
      <c r="AC63" s="24">
        <f t="shared" si="64"/>
        <v>1</v>
      </c>
    </row>
    <row r="64" spans="1:29">
      <c r="A64" s="30" t="s">
        <v>106</v>
      </c>
      <c r="B64" s="34">
        <v>138.9</v>
      </c>
      <c r="C64" s="40">
        <v>3.36</v>
      </c>
      <c r="D64" s="39">
        <v>331.7</v>
      </c>
      <c r="E64" s="34">
        <v>50</v>
      </c>
      <c r="F64">
        <v>420</v>
      </c>
      <c r="G64" s="59">
        <f t="shared" si="0"/>
        <v>41.339285714285715</v>
      </c>
      <c r="H64" s="58">
        <f t="shared" si="1"/>
        <v>0.64833291117865577</v>
      </c>
      <c r="I64" s="23">
        <f t="shared" si="2"/>
        <v>0.14499999999999999</v>
      </c>
      <c r="J64">
        <v>1520</v>
      </c>
      <c r="K64" s="24">
        <f t="shared" si="50"/>
        <v>1058</v>
      </c>
      <c r="L64" s="25">
        <f t="shared" si="51"/>
        <v>3.0237580993520519</v>
      </c>
      <c r="M64" s="24">
        <f t="shared" si="52"/>
        <v>1161</v>
      </c>
      <c r="N64" s="24">
        <f t="shared" si="53"/>
        <v>1277</v>
      </c>
      <c r="O64" s="24">
        <f t="shared" si="21"/>
        <v>1360</v>
      </c>
      <c r="P64" s="24">
        <f t="shared" si="54"/>
        <v>1360</v>
      </c>
      <c r="Q64" s="26">
        <f t="shared" si="55"/>
        <v>1.44</v>
      </c>
      <c r="R64" s="26">
        <f t="shared" si="56"/>
        <v>1.31</v>
      </c>
      <c r="S64" s="26">
        <f t="shared" si="57"/>
        <v>1.19</v>
      </c>
      <c r="T64" s="26">
        <f t="shared" si="58"/>
        <v>1.1180000000000001</v>
      </c>
      <c r="U64" s="26">
        <f t="shared" si="59"/>
        <v>1.1180000000000001</v>
      </c>
      <c r="V64" s="25">
        <f t="shared" si="13"/>
        <v>0.40876131988795589</v>
      </c>
      <c r="W64" s="25">
        <f t="shared" si="14"/>
        <v>13722.122311855201</v>
      </c>
      <c r="X64" s="25">
        <f t="shared" si="60"/>
        <v>1430.7262357248019</v>
      </c>
      <c r="Y64" s="25">
        <f t="shared" si="61"/>
        <v>0.14491481922460925</v>
      </c>
      <c r="Z64" s="25">
        <f t="shared" si="17"/>
        <v>2.5760810264700496</v>
      </c>
      <c r="AA64" s="25">
        <f t="shared" si="62"/>
        <v>0.82245740961230462</v>
      </c>
      <c r="AB64" s="24">
        <f t="shared" si="63"/>
        <v>1</v>
      </c>
      <c r="AC64" s="24">
        <f t="shared" si="64"/>
        <v>1</v>
      </c>
    </row>
    <row r="65" spans="1:29">
      <c r="A65" s="30" t="s">
        <v>107</v>
      </c>
      <c r="B65" s="34">
        <v>138.6</v>
      </c>
      <c r="C65" s="40">
        <v>3.3</v>
      </c>
      <c r="D65" s="39">
        <v>331.7</v>
      </c>
      <c r="E65" s="34">
        <v>50</v>
      </c>
      <c r="F65">
        <v>420</v>
      </c>
      <c r="G65" s="59">
        <f t="shared" si="0"/>
        <v>42</v>
      </c>
      <c r="H65" s="58">
        <f t="shared" si="1"/>
        <v>0.65869503546099284</v>
      </c>
      <c r="I65" s="23">
        <f t="shared" si="2"/>
        <v>0.14499999999999999</v>
      </c>
      <c r="J65">
        <v>1500</v>
      </c>
      <c r="K65" s="24">
        <f t="shared" si="50"/>
        <v>1047</v>
      </c>
      <c r="L65" s="25">
        <f t="shared" si="51"/>
        <v>3.0303030303030303</v>
      </c>
      <c r="M65" s="24">
        <f t="shared" si="52"/>
        <v>1150</v>
      </c>
      <c r="N65" s="24">
        <f t="shared" si="53"/>
        <v>1262</v>
      </c>
      <c r="O65" s="24">
        <f t="shared" si="21"/>
        <v>1345</v>
      </c>
      <c r="P65" s="24">
        <f t="shared" si="54"/>
        <v>1345</v>
      </c>
      <c r="Q65" s="26">
        <f t="shared" si="55"/>
        <v>1.43</v>
      </c>
      <c r="R65" s="26">
        <f t="shared" si="56"/>
        <v>1.3</v>
      </c>
      <c r="S65" s="26">
        <f t="shared" si="57"/>
        <v>1.19</v>
      </c>
      <c r="T65" s="26">
        <f t="shared" si="58"/>
        <v>1.115</v>
      </c>
      <c r="U65" s="26">
        <f t="shared" si="59"/>
        <v>1.115</v>
      </c>
      <c r="V65" s="25">
        <f t="shared" si="13"/>
        <v>0.40458441564081371</v>
      </c>
      <c r="W65" s="25">
        <f t="shared" si="14"/>
        <v>13684.774752000001</v>
      </c>
      <c r="X65" s="25">
        <f t="shared" si="60"/>
        <v>1402.6894120799993</v>
      </c>
      <c r="Y65" s="25">
        <f t="shared" si="61"/>
        <v>0.14548174409061604</v>
      </c>
      <c r="Z65" s="25">
        <f t="shared" si="17"/>
        <v>2.5683916780056113</v>
      </c>
      <c r="AA65" s="25">
        <f t="shared" si="62"/>
        <v>0.82274087204530799</v>
      </c>
      <c r="AB65" s="24">
        <f t="shared" si="63"/>
        <v>1</v>
      </c>
      <c r="AC65" s="24">
        <f t="shared" si="64"/>
        <v>1</v>
      </c>
    </row>
    <row r="66" spans="1:29">
      <c r="A66" s="30" t="s">
        <v>108</v>
      </c>
      <c r="B66" s="34">
        <v>140.30000000000001</v>
      </c>
      <c r="C66" s="40">
        <v>3.62</v>
      </c>
      <c r="D66" s="39">
        <v>325.3</v>
      </c>
      <c r="E66" s="34">
        <v>49.1</v>
      </c>
      <c r="F66">
        <v>418</v>
      </c>
      <c r="G66" s="59">
        <f t="shared" si="0"/>
        <v>38.75690607734807</v>
      </c>
      <c r="H66" s="58">
        <f t="shared" si="1"/>
        <v>0.59610503768138667</v>
      </c>
      <c r="I66" s="23">
        <f t="shared" si="2"/>
        <v>0.14099999999999999</v>
      </c>
      <c r="J66">
        <v>1582</v>
      </c>
      <c r="K66" s="24">
        <f t="shared" si="50"/>
        <v>1086</v>
      </c>
      <c r="L66" s="25">
        <f t="shared" si="51"/>
        <v>2.9793300071275834</v>
      </c>
      <c r="M66" s="24">
        <f t="shared" si="52"/>
        <v>1188</v>
      </c>
      <c r="N66" s="24">
        <f t="shared" si="53"/>
        <v>1319</v>
      </c>
      <c r="O66" s="24">
        <f t="shared" si="21"/>
        <v>1405</v>
      </c>
      <c r="P66" s="24">
        <f t="shared" si="54"/>
        <v>1405</v>
      </c>
      <c r="Q66" s="26">
        <f t="shared" si="55"/>
        <v>1.46</v>
      </c>
      <c r="R66" s="26">
        <f t="shared" si="56"/>
        <v>1.33</v>
      </c>
      <c r="S66" s="26">
        <f t="shared" si="57"/>
        <v>1.2</v>
      </c>
      <c r="T66" s="26">
        <f t="shared" si="58"/>
        <v>1.1259999999999999</v>
      </c>
      <c r="U66" s="26">
        <f t="shared" si="59"/>
        <v>1.1259999999999999</v>
      </c>
      <c r="V66" s="25">
        <f t="shared" si="13"/>
        <v>0.42562874021442204</v>
      </c>
      <c r="W66" s="25">
        <f t="shared" si="14"/>
        <v>13905.4430015128</v>
      </c>
      <c r="X66" s="25">
        <f t="shared" si="60"/>
        <v>1554.4019163072037</v>
      </c>
      <c r="Y66" s="25">
        <f t="shared" si="61"/>
        <v>0.14057956091207091</v>
      </c>
      <c r="Z66" s="25">
        <f t="shared" si="17"/>
        <v>2.6352425432126099</v>
      </c>
      <c r="AA66" s="25">
        <f t="shared" si="62"/>
        <v>0.8202897804560354</v>
      </c>
      <c r="AB66" s="24">
        <f t="shared" si="63"/>
        <v>1</v>
      </c>
      <c r="AC66" s="24">
        <f t="shared" si="64"/>
        <v>1</v>
      </c>
    </row>
    <row r="67" spans="1:29">
      <c r="A67" s="30" t="s">
        <v>109</v>
      </c>
      <c r="B67" s="34">
        <v>140</v>
      </c>
      <c r="C67" s="40">
        <v>3.6</v>
      </c>
      <c r="D67" s="39">
        <v>325.3</v>
      </c>
      <c r="E67" s="34">
        <v>49.1</v>
      </c>
      <c r="F67">
        <v>418</v>
      </c>
      <c r="G67" s="59">
        <f t="shared" si="0"/>
        <v>38.888888888888886</v>
      </c>
      <c r="H67" s="58">
        <f t="shared" si="1"/>
        <v>0.59813501444707118</v>
      </c>
      <c r="I67" s="23">
        <f t="shared" si="2"/>
        <v>0.14099999999999999</v>
      </c>
      <c r="J67">
        <v>1582</v>
      </c>
      <c r="K67" s="24">
        <f t="shared" si="50"/>
        <v>1080</v>
      </c>
      <c r="L67" s="25">
        <f t="shared" si="51"/>
        <v>2.9857142857142858</v>
      </c>
      <c r="M67" s="24">
        <f t="shared" si="52"/>
        <v>1182</v>
      </c>
      <c r="N67" s="24">
        <f t="shared" si="53"/>
        <v>1311</v>
      </c>
      <c r="O67" s="24">
        <f t="shared" si="21"/>
        <v>1397</v>
      </c>
      <c r="P67" s="24">
        <f t="shared" si="54"/>
        <v>1397</v>
      </c>
      <c r="Q67" s="26">
        <f t="shared" si="55"/>
        <v>1.46</v>
      </c>
      <c r="R67" s="26">
        <f t="shared" si="56"/>
        <v>1.34</v>
      </c>
      <c r="S67" s="26">
        <f t="shared" si="57"/>
        <v>1.21</v>
      </c>
      <c r="T67" s="26">
        <f t="shared" si="58"/>
        <v>1.1319999999999999</v>
      </c>
      <c r="U67" s="26">
        <f t="shared" si="59"/>
        <v>1.1319999999999999</v>
      </c>
      <c r="V67" s="25">
        <f t="shared" si="13"/>
        <v>0.4245542963593088</v>
      </c>
      <c r="W67" s="25">
        <f t="shared" si="14"/>
        <v>13851.153464320003</v>
      </c>
      <c r="X67" s="25">
        <f t="shared" si="60"/>
        <v>1542.647335679997</v>
      </c>
      <c r="Y67" s="25">
        <f t="shared" si="61"/>
        <v>0.14095984358877239</v>
      </c>
      <c r="Z67" s="25">
        <f t="shared" si="17"/>
        <v>2.6300274111854214</v>
      </c>
      <c r="AA67" s="25">
        <f t="shared" si="62"/>
        <v>0.82047992179438622</v>
      </c>
      <c r="AB67" s="24">
        <f t="shared" si="63"/>
        <v>1</v>
      </c>
      <c r="AC67" s="24">
        <f t="shared" si="64"/>
        <v>1</v>
      </c>
    </row>
    <row r="68" spans="1:29">
      <c r="A68" s="30" t="s">
        <v>110</v>
      </c>
      <c r="B68" s="34">
        <v>139.69999999999999</v>
      </c>
      <c r="C68" s="40">
        <v>3.61</v>
      </c>
      <c r="D68" s="39">
        <v>325.3</v>
      </c>
      <c r="E68" s="34">
        <v>49.1</v>
      </c>
      <c r="F68">
        <v>420</v>
      </c>
      <c r="G68" s="59">
        <f t="shared" si="0"/>
        <v>38.698060941828253</v>
      </c>
      <c r="H68" s="58">
        <f t="shared" si="1"/>
        <v>0.59519996332750502</v>
      </c>
      <c r="I68" s="23">
        <f t="shared" si="2"/>
        <v>0.14199999999999999</v>
      </c>
      <c r="J68">
        <v>1540</v>
      </c>
      <c r="K68" s="24">
        <f t="shared" si="50"/>
        <v>1077</v>
      </c>
      <c r="L68" s="25">
        <f t="shared" si="51"/>
        <v>3.0064423765211168</v>
      </c>
      <c r="M68" s="24">
        <f t="shared" si="52"/>
        <v>1179</v>
      </c>
      <c r="N68" s="24">
        <f t="shared" si="53"/>
        <v>1308</v>
      </c>
      <c r="O68" s="24">
        <f t="shared" si="21"/>
        <v>1392</v>
      </c>
      <c r="P68" s="24">
        <f t="shared" si="54"/>
        <v>1392</v>
      </c>
      <c r="Q68" s="26">
        <f t="shared" si="55"/>
        <v>1.43</v>
      </c>
      <c r="R68" s="26">
        <f t="shared" si="56"/>
        <v>1.31</v>
      </c>
      <c r="S68" s="26">
        <f t="shared" si="57"/>
        <v>1.18</v>
      </c>
      <c r="T68" s="26">
        <f t="shared" si="58"/>
        <v>1.1060000000000001</v>
      </c>
      <c r="U68" s="26">
        <f t="shared" si="59"/>
        <v>1.1060000000000001</v>
      </c>
      <c r="V68" s="25">
        <f t="shared" si="13"/>
        <v>0.425846867065927</v>
      </c>
      <c r="W68" s="25">
        <f t="shared" si="14"/>
        <v>13784.4813422592</v>
      </c>
      <c r="X68" s="25">
        <f t="shared" si="60"/>
        <v>1543.4167115607991</v>
      </c>
      <c r="Y68" s="25">
        <f t="shared" si="61"/>
        <v>0.14186703436072443</v>
      </c>
      <c r="Z68" s="25">
        <f t="shared" si="17"/>
        <v>2.617606206777817</v>
      </c>
      <c r="AA68" s="25">
        <f t="shared" si="62"/>
        <v>0.82093351718036223</v>
      </c>
      <c r="AB68" s="24">
        <f t="shared" si="63"/>
        <v>1</v>
      </c>
      <c r="AC68" s="24">
        <f t="shared" si="64"/>
        <v>1</v>
      </c>
    </row>
    <row r="69" spans="1:29">
      <c r="A69" s="30" t="s">
        <v>111</v>
      </c>
      <c r="B69" s="34">
        <v>133.4</v>
      </c>
      <c r="C69" s="40">
        <v>5.17</v>
      </c>
      <c r="D69" s="39">
        <v>351</v>
      </c>
      <c r="E69" s="34">
        <v>56.5</v>
      </c>
      <c r="F69">
        <v>396</v>
      </c>
      <c r="G69" s="59">
        <f t="shared" si="0"/>
        <v>25.802707930367507</v>
      </c>
      <c r="H69" s="58">
        <f t="shared" si="1"/>
        <v>0.42821515288695011</v>
      </c>
      <c r="I69" s="23">
        <f t="shared" si="2"/>
        <v>0.14099999999999999</v>
      </c>
      <c r="J69">
        <v>1810</v>
      </c>
      <c r="K69" s="24">
        <f t="shared" si="50"/>
        <v>1302</v>
      </c>
      <c r="L69" s="25">
        <f t="shared" si="51"/>
        <v>2.9685157421289352</v>
      </c>
      <c r="M69" s="24">
        <f t="shared" si="52"/>
        <v>1403</v>
      </c>
      <c r="N69" s="24">
        <f t="shared" si="53"/>
        <v>1624</v>
      </c>
      <c r="O69" s="24">
        <f t="shared" si="21"/>
        <v>1697</v>
      </c>
      <c r="P69" s="24">
        <f t="shared" si="54"/>
        <v>1697</v>
      </c>
      <c r="Q69" s="26">
        <f t="shared" si="55"/>
        <v>1.39</v>
      </c>
      <c r="R69" s="26">
        <f t="shared" si="56"/>
        <v>1.29</v>
      </c>
      <c r="S69" s="26">
        <f t="shared" si="57"/>
        <v>1.1100000000000001</v>
      </c>
      <c r="T69" s="26">
        <f t="shared" si="58"/>
        <v>1.0669999999999999</v>
      </c>
      <c r="U69" s="26">
        <f t="shared" si="59"/>
        <v>1.0669999999999999</v>
      </c>
      <c r="V69" s="25">
        <f t="shared" si="13"/>
        <v>0.52105001548644869</v>
      </c>
      <c r="W69" s="25">
        <f t="shared" si="14"/>
        <v>11893.8816439128</v>
      </c>
      <c r="X69" s="25">
        <f t="shared" si="60"/>
        <v>2082.7155889672008</v>
      </c>
      <c r="Y69" s="25">
        <f t="shared" si="61"/>
        <v>0.14140397069048422</v>
      </c>
      <c r="Z69" s="25">
        <f t="shared" si="17"/>
        <v>2.6239429519856428</v>
      </c>
      <c r="AA69" s="25">
        <f t="shared" si="62"/>
        <v>0.82070198534524208</v>
      </c>
      <c r="AB69" s="24">
        <f t="shared" si="63"/>
        <v>1</v>
      </c>
      <c r="AC69" s="24">
        <f t="shared" si="64"/>
        <v>1</v>
      </c>
    </row>
    <row r="70" spans="1:29">
      <c r="A70" s="30" t="s">
        <v>112</v>
      </c>
      <c r="B70" s="34">
        <v>133.19999999999999</v>
      </c>
      <c r="C70" s="40">
        <v>5.03</v>
      </c>
      <c r="D70" s="39">
        <v>351</v>
      </c>
      <c r="E70" s="34">
        <v>56.5</v>
      </c>
      <c r="F70">
        <v>396</v>
      </c>
      <c r="G70" s="59">
        <f t="shared" si="0"/>
        <v>26.481113320079519</v>
      </c>
      <c r="H70" s="58">
        <f t="shared" si="1"/>
        <v>0.43947379552472393</v>
      </c>
      <c r="I70" s="23">
        <f t="shared" si="2"/>
        <v>0.14199999999999999</v>
      </c>
      <c r="J70">
        <v>1770</v>
      </c>
      <c r="K70" s="24">
        <f t="shared" si="50"/>
        <v>1283</v>
      </c>
      <c r="L70" s="25">
        <f t="shared" si="51"/>
        <v>2.9729729729729732</v>
      </c>
      <c r="M70" s="24">
        <f t="shared" si="52"/>
        <v>1384</v>
      </c>
      <c r="N70" s="24">
        <f t="shared" si="53"/>
        <v>1596</v>
      </c>
      <c r="O70" s="24">
        <f t="shared" si="21"/>
        <v>1670</v>
      </c>
      <c r="P70" s="24">
        <f t="shared" si="54"/>
        <v>1670</v>
      </c>
      <c r="Q70" s="26">
        <f t="shared" si="55"/>
        <v>1.38</v>
      </c>
      <c r="R70" s="26">
        <f t="shared" si="56"/>
        <v>1.28</v>
      </c>
      <c r="S70" s="26">
        <f t="shared" si="57"/>
        <v>1.1100000000000001</v>
      </c>
      <c r="T70" s="26">
        <f t="shared" si="58"/>
        <v>1.06</v>
      </c>
      <c r="U70" s="26">
        <f t="shared" si="59"/>
        <v>1.06</v>
      </c>
      <c r="V70" s="25">
        <f t="shared" si="13"/>
        <v>0.51365932657393043</v>
      </c>
      <c r="W70" s="25">
        <f t="shared" si="14"/>
        <v>11909.350842920798</v>
      </c>
      <c r="X70" s="25">
        <f t="shared" si="60"/>
        <v>2025.3689685992013</v>
      </c>
      <c r="Y70" s="25">
        <f t="shared" si="61"/>
        <v>0.14196631453393443</v>
      </c>
      <c r="Z70" s="25">
        <f t="shared" si="17"/>
        <v>2.6162485669821294</v>
      </c>
      <c r="AA70" s="25">
        <f t="shared" si="62"/>
        <v>0.82098315726696725</v>
      </c>
      <c r="AB70" s="24">
        <f t="shared" si="63"/>
        <v>1</v>
      </c>
      <c r="AC70" s="24">
        <f t="shared" si="64"/>
        <v>1</v>
      </c>
    </row>
    <row r="71" spans="1:29">
      <c r="A71" s="30" t="s">
        <v>113</v>
      </c>
      <c r="B71" s="34">
        <v>133.19999999999999</v>
      </c>
      <c r="C71" s="40">
        <v>5.07</v>
      </c>
      <c r="D71" s="39">
        <v>351</v>
      </c>
      <c r="E71" s="34">
        <v>56.5</v>
      </c>
      <c r="F71">
        <v>397</v>
      </c>
      <c r="G71" s="59">
        <f t="shared" si="0"/>
        <v>26.272189349112423</v>
      </c>
      <c r="H71" s="58">
        <f t="shared" si="1"/>
        <v>0.43600654664484451</v>
      </c>
      <c r="I71" s="23">
        <f t="shared" si="2"/>
        <v>0.14199999999999999</v>
      </c>
      <c r="J71">
        <v>1835</v>
      </c>
      <c r="K71" s="24">
        <f t="shared" si="50"/>
        <v>1288</v>
      </c>
      <c r="L71" s="25">
        <f t="shared" si="51"/>
        <v>2.9804804804804808</v>
      </c>
      <c r="M71" s="24">
        <f t="shared" si="52"/>
        <v>1388</v>
      </c>
      <c r="N71" s="24">
        <f t="shared" si="53"/>
        <v>1603</v>
      </c>
      <c r="O71" s="24">
        <f t="shared" si="21"/>
        <v>1675</v>
      </c>
      <c r="P71" s="24">
        <f t="shared" si="54"/>
        <v>1675</v>
      </c>
      <c r="Q71" s="26">
        <f t="shared" si="55"/>
        <v>1.42</v>
      </c>
      <c r="R71" s="26">
        <f t="shared" si="56"/>
        <v>1.32</v>
      </c>
      <c r="S71" s="26">
        <f t="shared" si="57"/>
        <v>1.1399999999999999</v>
      </c>
      <c r="T71" s="26">
        <f t="shared" si="58"/>
        <v>1.0960000000000001</v>
      </c>
      <c r="U71" s="26">
        <f t="shared" si="59"/>
        <v>1.0960000000000001</v>
      </c>
      <c r="V71" s="25">
        <f t="shared" si="13"/>
        <v>0.51609091990643197</v>
      </c>
      <c r="W71" s="25">
        <f t="shared" si="14"/>
        <v>11893.881643912799</v>
      </c>
      <c r="X71" s="25">
        <f t="shared" si="60"/>
        <v>2040.8381676072013</v>
      </c>
      <c r="Y71" s="25">
        <f t="shared" si="61"/>
        <v>0.14219251622154699</v>
      </c>
      <c r="Z71" s="25">
        <f t="shared" si="17"/>
        <v>2.6131565482814345</v>
      </c>
      <c r="AA71" s="25">
        <f t="shared" si="62"/>
        <v>0.82109625811077347</v>
      </c>
      <c r="AB71" s="24">
        <f t="shared" si="63"/>
        <v>1</v>
      </c>
      <c r="AC71" s="24">
        <f t="shared" si="64"/>
        <v>1</v>
      </c>
    </row>
    <row r="72" spans="1:29">
      <c r="A72" s="30" t="s">
        <v>114</v>
      </c>
      <c r="B72" s="34">
        <v>138.9</v>
      </c>
      <c r="C72" s="40">
        <v>3.28</v>
      </c>
      <c r="D72" s="39">
        <v>331.7</v>
      </c>
      <c r="E72" s="34">
        <v>61.7</v>
      </c>
      <c r="F72">
        <v>420</v>
      </c>
      <c r="G72" s="59">
        <f t="shared" ref="G72:G121" si="65">B72/C72</f>
        <v>42.34756097560976</v>
      </c>
      <c r="H72" s="58">
        <f t="shared" ref="H72:H121" si="66">(G72/(21150/D72))</f>
        <v>0.66414590901228165</v>
      </c>
      <c r="I72" s="23">
        <f t="shared" ref="I72:I121" si="67">ROUND(Y72,3)</f>
        <v>0.153</v>
      </c>
      <c r="J72">
        <v>1688</v>
      </c>
      <c r="K72" s="24">
        <f t="shared" si="50"/>
        <v>1185</v>
      </c>
      <c r="L72" s="25">
        <f t="shared" si="51"/>
        <v>3.0237580993520519</v>
      </c>
      <c r="M72" s="24">
        <f t="shared" si="52"/>
        <v>1312</v>
      </c>
      <c r="N72" s="24">
        <f t="shared" si="53"/>
        <v>1400</v>
      </c>
      <c r="O72" s="24">
        <f t="shared" si="21"/>
        <v>1497</v>
      </c>
      <c r="P72" s="24">
        <f t="shared" si="54"/>
        <v>1497</v>
      </c>
      <c r="Q72" s="26">
        <f t="shared" si="55"/>
        <v>1.42</v>
      </c>
      <c r="R72" s="26">
        <f t="shared" si="56"/>
        <v>1.29</v>
      </c>
      <c r="S72" s="26">
        <f t="shared" si="57"/>
        <v>1.21</v>
      </c>
      <c r="T72" s="26">
        <f t="shared" si="58"/>
        <v>1.1279999999999999</v>
      </c>
      <c r="U72" s="26">
        <f t="shared" si="59"/>
        <v>1.1279999999999999</v>
      </c>
      <c r="V72" s="25">
        <f t="shared" ref="V72:V121" si="68">D72*X72/(1000*M72)</f>
        <v>0.35331249981292068</v>
      </c>
      <c r="W72" s="25">
        <f t="shared" ref="W72:W135" si="69">0.785398*((B72-2*C72)^2)</f>
        <v>13755.362868488801</v>
      </c>
      <c r="X72" s="25">
        <f t="shared" si="60"/>
        <v>1397.4856790912027</v>
      </c>
      <c r="Y72" s="25">
        <f t="shared" si="61"/>
        <v>0.15342684923243632</v>
      </c>
      <c r="Z72" s="25">
        <f t="shared" ref="Z72:Z121" si="70">IF((4.9-18.5*Y72+17*Y72*Y72)&lt;0,0,(4.9-18.5*Y72+17*Y72*Y72))</f>
        <v>2.4617798563116051</v>
      </c>
      <c r="AA72" s="25">
        <f t="shared" si="62"/>
        <v>0.82671342461621822</v>
      </c>
      <c r="AB72" s="24">
        <f t="shared" si="63"/>
        <v>1</v>
      </c>
      <c r="AC72" s="24">
        <f t="shared" si="64"/>
        <v>1</v>
      </c>
    </row>
    <row r="73" spans="1:29">
      <c r="A73" s="30" t="s">
        <v>115</v>
      </c>
      <c r="B73" s="34">
        <v>138.69999999999999</v>
      </c>
      <c r="C73" s="40">
        <v>3.28</v>
      </c>
      <c r="D73" s="39">
        <v>331.7</v>
      </c>
      <c r="E73" s="34">
        <v>61.7</v>
      </c>
      <c r="F73">
        <v>418</v>
      </c>
      <c r="G73" s="59">
        <f t="shared" si="65"/>
        <v>42.286585365853661</v>
      </c>
      <c r="H73" s="58">
        <f t="shared" si="66"/>
        <v>0.66318961540679233</v>
      </c>
      <c r="I73" s="23">
        <f t="shared" si="67"/>
        <v>0.153</v>
      </c>
      <c r="J73">
        <v>1680</v>
      </c>
      <c r="K73" s="24">
        <f t="shared" si="50"/>
        <v>1182</v>
      </c>
      <c r="L73" s="25">
        <f t="shared" si="51"/>
        <v>3.0136986301369864</v>
      </c>
      <c r="M73" s="24">
        <f t="shared" si="52"/>
        <v>1309</v>
      </c>
      <c r="N73" s="24">
        <f t="shared" si="53"/>
        <v>1397</v>
      </c>
      <c r="O73" s="24">
        <f t="shared" si="21"/>
        <v>1494</v>
      </c>
      <c r="P73" s="24">
        <f t="shared" si="54"/>
        <v>1494</v>
      </c>
      <c r="Q73" s="26">
        <f t="shared" si="55"/>
        <v>1.42</v>
      </c>
      <c r="R73" s="26">
        <f t="shared" si="56"/>
        <v>1.28</v>
      </c>
      <c r="S73" s="26">
        <f t="shared" si="57"/>
        <v>1.2</v>
      </c>
      <c r="T73" s="26">
        <f t="shared" si="58"/>
        <v>1.1240000000000001</v>
      </c>
      <c r="U73" s="26">
        <f t="shared" si="59"/>
        <v>1.1240000000000001</v>
      </c>
      <c r="V73" s="25">
        <f t="shared" si="68"/>
        <v>0.35360000337279801</v>
      </c>
      <c r="W73" s="25">
        <f t="shared" si="69"/>
        <v>13713.818455880797</v>
      </c>
      <c r="X73" s="25">
        <f t="shared" si="60"/>
        <v>1395.4247947392</v>
      </c>
      <c r="Y73" s="25">
        <f t="shared" si="61"/>
        <v>0.15290343689331792</v>
      </c>
      <c r="Z73" s="25">
        <f t="shared" si="70"/>
        <v>2.4687372547080297</v>
      </c>
      <c r="AA73" s="25">
        <f t="shared" si="62"/>
        <v>0.82645171844665899</v>
      </c>
      <c r="AB73" s="24">
        <f t="shared" si="63"/>
        <v>1</v>
      </c>
      <c r="AC73" s="24">
        <f t="shared" si="64"/>
        <v>1</v>
      </c>
    </row>
    <row r="74" spans="1:29">
      <c r="A74" s="30" t="s">
        <v>116</v>
      </c>
      <c r="B74" s="34">
        <v>139</v>
      </c>
      <c r="C74" s="40">
        <v>3.29</v>
      </c>
      <c r="D74" s="39">
        <v>331.7</v>
      </c>
      <c r="E74" s="34">
        <v>61.7</v>
      </c>
      <c r="F74">
        <v>418</v>
      </c>
      <c r="G74" s="59">
        <f t="shared" si="65"/>
        <v>42.249240121580549</v>
      </c>
      <c r="H74" s="58">
        <f t="shared" si="66"/>
        <v>0.66260392190677386</v>
      </c>
      <c r="I74" s="23">
        <f t="shared" si="67"/>
        <v>0.153</v>
      </c>
      <c r="J74">
        <v>1629</v>
      </c>
      <c r="K74" s="24">
        <f t="shared" si="50"/>
        <v>1188</v>
      </c>
      <c r="L74" s="25">
        <f t="shared" si="51"/>
        <v>3.0071942446043165</v>
      </c>
      <c r="M74" s="24">
        <f t="shared" si="52"/>
        <v>1315</v>
      </c>
      <c r="N74" s="24">
        <f t="shared" si="53"/>
        <v>1403</v>
      </c>
      <c r="O74" s="24">
        <f t="shared" ref="O74:O121" si="71">IF(E74&lt;1,M74,(ROUND(((AA74*D74*X74)+(E74*W74*(1+Z74*(C74/B74)*(D74/E74))))/1000,0)))</f>
        <v>1502</v>
      </c>
      <c r="P74" s="24">
        <f t="shared" si="54"/>
        <v>1502</v>
      </c>
      <c r="Q74" s="26">
        <f t="shared" si="55"/>
        <v>1.37</v>
      </c>
      <c r="R74" s="26">
        <f t="shared" si="56"/>
        <v>1.24</v>
      </c>
      <c r="S74" s="26">
        <f t="shared" si="57"/>
        <v>1.1599999999999999</v>
      </c>
      <c r="T74" s="26">
        <f t="shared" si="58"/>
        <v>1.085</v>
      </c>
      <c r="U74" s="26">
        <f t="shared" si="59"/>
        <v>1.085</v>
      </c>
      <c r="V74" s="25">
        <f t="shared" si="68"/>
        <v>0.35381582168522002</v>
      </c>
      <c r="W74" s="25">
        <f t="shared" si="69"/>
        <v>13771.998226447198</v>
      </c>
      <c r="X74" s="25">
        <f t="shared" si="60"/>
        <v>1402.6765315528019</v>
      </c>
      <c r="Y74" s="25">
        <f t="shared" si="61"/>
        <v>0.15255696893912532</v>
      </c>
      <c r="Z74" s="25">
        <f t="shared" si="70"/>
        <v>2.4733477637483672</v>
      </c>
      <c r="AA74" s="25">
        <f t="shared" si="62"/>
        <v>0.82627848446956265</v>
      </c>
      <c r="AB74" s="24">
        <f t="shared" si="63"/>
        <v>1</v>
      </c>
      <c r="AC74" s="24">
        <f t="shared" si="64"/>
        <v>1</v>
      </c>
    </row>
    <row r="75" spans="1:29">
      <c r="A75" s="30" t="s">
        <v>117</v>
      </c>
      <c r="B75" s="34">
        <v>159.30000000000001</v>
      </c>
      <c r="C75" s="40">
        <v>5.36</v>
      </c>
      <c r="D75" s="39">
        <v>356.3</v>
      </c>
      <c r="E75" s="34">
        <v>61.7</v>
      </c>
      <c r="F75">
        <v>477</v>
      </c>
      <c r="G75" s="59">
        <f t="shared" si="65"/>
        <v>29.720149253731343</v>
      </c>
      <c r="H75" s="58">
        <f t="shared" si="66"/>
        <v>0.50067561130517624</v>
      </c>
      <c r="I75" s="23">
        <f t="shared" si="67"/>
        <v>0.14799999999999999</v>
      </c>
      <c r="J75">
        <v>2480</v>
      </c>
      <c r="K75" s="24">
        <f t="shared" si="50"/>
        <v>1833</v>
      </c>
      <c r="L75" s="25">
        <f t="shared" si="51"/>
        <v>2.9943502824858754</v>
      </c>
      <c r="M75" s="24">
        <f t="shared" si="52"/>
        <v>1993</v>
      </c>
      <c r="N75" s="24">
        <f t="shared" si="53"/>
        <v>2246</v>
      </c>
      <c r="O75" s="24">
        <f t="shared" si="71"/>
        <v>2358</v>
      </c>
      <c r="P75" s="24">
        <f t="shared" si="54"/>
        <v>2358</v>
      </c>
      <c r="Q75" s="26">
        <f t="shared" si="55"/>
        <v>1.35</v>
      </c>
      <c r="R75" s="26">
        <f t="shared" si="56"/>
        <v>1.24</v>
      </c>
      <c r="S75" s="26">
        <f t="shared" si="57"/>
        <v>1.1000000000000001</v>
      </c>
      <c r="T75" s="26">
        <f t="shared" si="58"/>
        <v>1.052</v>
      </c>
      <c r="U75" s="26">
        <f t="shared" si="59"/>
        <v>1.052</v>
      </c>
      <c r="V75" s="25">
        <f t="shared" si="68"/>
        <v>0.46341979195623934</v>
      </c>
      <c r="W75" s="25">
        <f t="shared" si="69"/>
        <v>17338.459128527204</v>
      </c>
      <c r="X75" s="25">
        <f t="shared" si="60"/>
        <v>2592.185364492801</v>
      </c>
      <c r="Y75" s="25">
        <f t="shared" si="61"/>
        <v>0.14795960047815587</v>
      </c>
      <c r="Z75" s="25">
        <f t="shared" si="70"/>
        <v>2.5349121285062601</v>
      </c>
      <c r="AA75" s="25">
        <f t="shared" si="62"/>
        <v>0.82397980023907791</v>
      </c>
      <c r="AB75" s="24">
        <f t="shared" si="63"/>
        <v>1</v>
      </c>
      <c r="AC75" s="24">
        <f t="shared" si="64"/>
        <v>1</v>
      </c>
    </row>
    <row r="76" spans="1:29">
      <c r="A76" s="30" t="s">
        <v>118</v>
      </c>
      <c r="B76" s="34">
        <v>160.19999999999999</v>
      </c>
      <c r="C76" s="40">
        <v>5.01</v>
      </c>
      <c r="D76" s="39">
        <v>356.3</v>
      </c>
      <c r="E76" s="34">
        <v>61.7</v>
      </c>
      <c r="F76">
        <v>476</v>
      </c>
      <c r="G76" s="59">
        <f t="shared" si="65"/>
        <v>31.976047904191617</v>
      </c>
      <c r="H76" s="58">
        <f t="shared" si="66"/>
        <v>0.53867923727014055</v>
      </c>
      <c r="I76" s="23">
        <f t="shared" si="67"/>
        <v>0.14799999999999999</v>
      </c>
      <c r="J76">
        <v>2440</v>
      </c>
      <c r="K76" s="24">
        <f t="shared" si="50"/>
        <v>1799</v>
      </c>
      <c r="L76" s="25">
        <f t="shared" si="51"/>
        <v>2.9712858926342074</v>
      </c>
      <c r="M76" s="24">
        <f t="shared" si="52"/>
        <v>1963</v>
      </c>
      <c r="N76" s="24">
        <f t="shared" si="53"/>
        <v>2192</v>
      </c>
      <c r="O76" s="24">
        <f t="shared" si="71"/>
        <v>2310</v>
      </c>
      <c r="P76" s="24">
        <f t="shared" si="54"/>
        <v>2310</v>
      </c>
      <c r="Q76" s="26">
        <f t="shared" si="55"/>
        <v>1.36</v>
      </c>
      <c r="R76" s="26">
        <f t="shared" si="56"/>
        <v>1.24</v>
      </c>
      <c r="S76" s="26">
        <f t="shared" si="57"/>
        <v>1.1100000000000001</v>
      </c>
      <c r="T76" s="26">
        <f t="shared" si="58"/>
        <v>1.056</v>
      </c>
      <c r="U76" s="26">
        <f t="shared" si="59"/>
        <v>1.056</v>
      </c>
      <c r="V76" s="25">
        <f t="shared" si="68"/>
        <v>0.44335005235738029</v>
      </c>
      <c r="W76" s="25">
        <f t="shared" si="69"/>
        <v>17713.891938895194</v>
      </c>
      <c r="X76" s="25">
        <f t="shared" si="60"/>
        <v>2442.5937490248034</v>
      </c>
      <c r="Y76" s="25">
        <f t="shared" si="61"/>
        <v>0.14797907179348044</v>
      </c>
      <c r="Z76" s="25">
        <f t="shared" si="70"/>
        <v>2.5346498685312326</v>
      </c>
      <c r="AA76" s="25">
        <f t="shared" si="62"/>
        <v>0.82398953589674018</v>
      </c>
      <c r="AB76" s="24">
        <f t="shared" si="63"/>
        <v>1</v>
      </c>
      <c r="AC76" s="24">
        <f t="shared" si="64"/>
        <v>1</v>
      </c>
    </row>
    <row r="77" spans="1:29">
      <c r="A77" s="30" t="s">
        <v>119</v>
      </c>
      <c r="B77" s="34">
        <v>159.30000000000001</v>
      </c>
      <c r="C77" s="40">
        <v>5.07</v>
      </c>
      <c r="D77" s="39">
        <v>356.3</v>
      </c>
      <c r="E77" s="34">
        <v>61.7</v>
      </c>
      <c r="F77">
        <v>478</v>
      </c>
      <c r="G77" s="59">
        <f t="shared" si="65"/>
        <v>31.420118343195266</v>
      </c>
      <c r="H77" s="58">
        <f t="shared" si="66"/>
        <v>0.52931386126148816</v>
      </c>
      <c r="I77" s="23">
        <f t="shared" si="67"/>
        <v>0.14899999999999999</v>
      </c>
      <c r="J77">
        <v>2460</v>
      </c>
      <c r="K77" s="24">
        <f t="shared" si="50"/>
        <v>1792</v>
      </c>
      <c r="L77" s="25">
        <f t="shared" si="51"/>
        <v>3.000627746390458</v>
      </c>
      <c r="M77" s="24">
        <f t="shared" si="52"/>
        <v>1953</v>
      </c>
      <c r="N77" s="24">
        <f t="shared" si="53"/>
        <v>2186</v>
      </c>
      <c r="O77" s="24">
        <f t="shared" si="71"/>
        <v>2299</v>
      </c>
      <c r="P77" s="24">
        <f t="shared" si="54"/>
        <v>2299</v>
      </c>
      <c r="Q77" s="26">
        <f t="shared" si="55"/>
        <v>1.37</v>
      </c>
      <c r="R77" s="26">
        <f t="shared" si="56"/>
        <v>1.26</v>
      </c>
      <c r="S77" s="26">
        <f t="shared" si="57"/>
        <v>1.1299999999999999</v>
      </c>
      <c r="T77" s="26">
        <f t="shared" si="58"/>
        <v>1.07</v>
      </c>
      <c r="U77" s="26">
        <f t="shared" si="59"/>
        <v>1.07</v>
      </c>
      <c r="V77" s="25">
        <f t="shared" si="68"/>
        <v>0.44816731419545508</v>
      </c>
      <c r="W77" s="25">
        <f t="shared" si="69"/>
        <v>17474.088880828807</v>
      </c>
      <c r="X77" s="25">
        <f t="shared" si="60"/>
        <v>2456.5556121911977</v>
      </c>
      <c r="Y77" s="25">
        <f t="shared" si="61"/>
        <v>0.14915030487062519</v>
      </c>
      <c r="Z77" s="25">
        <f t="shared" si="70"/>
        <v>2.5188981884244419</v>
      </c>
      <c r="AA77" s="25">
        <f t="shared" si="62"/>
        <v>0.82457515243531265</v>
      </c>
      <c r="AB77" s="24">
        <f t="shared" si="63"/>
        <v>1</v>
      </c>
      <c r="AC77" s="24">
        <f t="shared" si="64"/>
        <v>1</v>
      </c>
    </row>
    <row r="78" spans="1:29">
      <c r="A78" s="30" t="s">
        <v>120</v>
      </c>
      <c r="B78" s="34">
        <v>133.30000000000001</v>
      </c>
      <c r="C78" s="40">
        <v>5.0999999999999996</v>
      </c>
      <c r="D78" s="39">
        <v>351</v>
      </c>
      <c r="E78" s="34">
        <v>61.7</v>
      </c>
      <c r="F78">
        <v>396</v>
      </c>
      <c r="G78" s="59">
        <f t="shared" si="65"/>
        <v>26.137254901960787</v>
      </c>
      <c r="H78" s="58">
        <f t="shared" si="66"/>
        <v>0.43376720901126414</v>
      </c>
      <c r="I78" s="23">
        <f t="shared" si="67"/>
        <v>0.14399999999999999</v>
      </c>
      <c r="J78">
        <v>1930</v>
      </c>
      <c r="K78" s="24">
        <f t="shared" si="50"/>
        <v>1345</v>
      </c>
      <c r="L78" s="25">
        <f t="shared" si="51"/>
        <v>2.9707426856714174</v>
      </c>
      <c r="M78" s="24">
        <f t="shared" si="52"/>
        <v>1455</v>
      </c>
      <c r="N78" s="24">
        <f t="shared" si="53"/>
        <v>1663</v>
      </c>
      <c r="O78" s="24">
        <f t="shared" si="71"/>
        <v>1740</v>
      </c>
      <c r="P78" s="24">
        <f t="shared" si="54"/>
        <v>1740</v>
      </c>
      <c r="Q78" s="26">
        <f t="shared" si="55"/>
        <v>1.43</v>
      </c>
      <c r="R78" s="26">
        <f t="shared" si="56"/>
        <v>1.33</v>
      </c>
      <c r="S78" s="26">
        <f t="shared" si="57"/>
        <v>1.1599999999999999</v>
      </c>
      <c r="T78" s="26">
        <f t="shared" si="58"/>
        <v>1.109</v>
      </c>
      <c r="U78" s="26">
        <f t="shared" si="59"/>
        <v>1.109</v>
      </c>
      <c r="V78" s="25">
        <f t="shared" si="68"/>
        <v>0.49550963861542285</v>
      </c>
      <c r="W78" s="25">
        <f t="shared" si="69"/>
        <v>11901.614986780003</v>
      </c>
      <c r="X78" s="25">
        <f t="shared" si="60"/>
        <v>2054.0356814400006</v>
      </c>
      <c r="Y78" s="25">
        <f t="shared" si="61"/>
        <v>0.14433497772653292</v>
      </c>
      <c r="Z78" s="25">
        <f t="shared" si="70"/>
        <v>2.5839568705795601</v>
      </c>
      <c r="AA78" s="25">
        <f t="shared" si="62"/>
        <v>0.8221674888632664</v>
      </c>
      <c r="AB78" s="24">
        <f t="shared" si="63"/>
        <v>1</v>
      </c>
      <c r="AC78" s="24">
        <f t="shared" si="64"/>
        <v>1</v>
      </c>
    </row>
    <row r="79" spans="1:29">
      <c r="A79" s="30" t="s">
        <v>121</v>
      </c>
      <c r="B79" s="34">
        <v>133.4</v>
      </c>
      <c r="C79" s="40">
        <v>5.2</v>
      </c>
      <c r="D79" s="39">
        <v>351</v>
      </c>
      <c r="E79" s="34">
        <v>61.7</v>
      </c>
      <c r="F79">
        <v>396</v>
      </c>
      <c r="G79" s="59">
        <f t="shared" si="65"/>
        <v>25.653846153846153</v>
      </c>
      <c r="H79" s="58">
        <f t="shared" si="66"/>
        <v>0.42574468085106382</v>
      </c>
      <c r="I79" s="23">
        <f t="shared" si="67"/>
        <v>0.14399999999999999</v>
      </c>
      <c r="J79">
        <v>1955</v>
      </c>
      <c r="K79" s="24">
        <f t="shared" si="50"/>
        <v>1358</v>
      </c>
      <c r="L79" s="25">
        <f t="shared" si="51"/>
        <v>2.9685157421289352</v>
      </c>
      <c r="M79" s="24">
        <f t="shared" si="52"/>
        <v>1468</v>
      </c>
      <c r="N79" s="24">
        <f t="shared" si="53"/>
        <v>1681</v>
      </c>
      <c r="O79" s="24">
        <f t="shared" si="71"/>
        <v>1758</v>
      </c>
      <c r="P79" s="24">
        <f t="shared" si="54"/>
        <v>1758</v>
      </c>
      <c r="Q79" s="26">
        <f t="shared" si="55"/>
        <v>1.44</v>
      </c>
      <c r="R79" s="26">
        <f t="shared" si="56"/>
        <v>1.33</v>
      </c>
      <c r="S79" s="26">
        <f t="shared" si="57"/>
        <v>1.1599999999999999</v>
      </c>
      <c r="T79" s="26">
        <f t="shared" si="58"/>
        <v>1.1120000000000001</v>
      </c>
      <c r="U79" s="26">
        <f t="shared" si="59"/>
        <v>1.1120000000000001</v>
      </c>
      <c r="V79" s="25">
        <f t="shared" si="68"/>
        <v>0.50075144598016386</v>
      </c>
      <c r="W79" s="25">
        <f t="shared" si="69"/>
        <v>11882.286342000001</v>
      </c>
      <c r="X79" s="25">
        <f t="shared" si="60"/>
        <v>2094.3108908800014</v>
      </c>
      <c r="Y79" s="25">
        <f t="shared" si="61"/>
        <v>0.14395903506296967</v>
      </c>
      <c r="Z79" s="25">
        <f t="shared" si="70"/>
        <v>2.5890693155315039</v>
      </c>
      <c r="AA79" s="25">
        <f t="shared" si="62"/>
        <v>0.82197951753148479</v>
      </c>
      <c r="AB79" s="24">
        <f t="shared" si="63"/>
        <v>1</v>
      </c>
      <c r="AC79" s="24">
        <f t="shared" si="64"/>
        <v>1</v>
      </c>
    </row>
    <row r="80" spans="1:29">
      <c r="A80" s="30" t="s">
        <v>122</v>
      </c>
      <c r="B80" s="34">
        <v>133.1</v>
      </c>
      <c r="C80" s="40">
        <v>5.04</v>
      </c>
      <c r="D80" s="39">
        <v>351</v>
      </c>
      <c r="E80" s="34">
        <v>61.7</v>
      </c>
      <c r="F80">
        <v>397</v>
      </c>
      <c r="G80" s="59">
        <f t="shared" si="65"/>
        <v>26.408730158730158</v>
      </c>
      <c r="H80" s="58">
        <f t="shared" si="66"/>
        <v>0.43827254305977709</v>
      </c>
      <c r="I80" s="23">
        <f t="shared" si="67"/>
        <v>0.14499999999999999</v>
      </c>
      <c r="J80">
        <v>1955</v>
      </c>
      <c r="K80" s="24">
        <f t="shared" si="50"/>
        <v>1335</v>
      </c>
      <c r="L80" s="25">
        <f t="shared" si="51"/>
        <v>2.9827197595792638</v>
      </c>
      <c r="M80" s="24">
        <f t="shared" si="52"/>
        <v>1445</v>
      </c>
      <c r="N80" s="24">
        <f t="shared" si="53"/>
        <v>1649</v>
      </c>
      <c r="O80" s="24">
        <f t="shared" si="71"/>
        <v>1725</v>
      </c>
      <c r="P80" s="24">
        <f t="shared" si="54"/>
        <v>1725</v>
      </c>
      <c r="Q80" s="26">
        <f t="shared" si="55"/>
        <v>1.46</v>
      </c>
      <c r="R80" s="26">
        <f t="shared" si="56"/>
        <v>1.35</v>
      </c>
      <c r="S80" s="26">
        <f t="shared" si="57"/>
        <v>1.19</v>
      </c>
      <c r="T80" s="26">
        <f t="shared" si="58"/>
        <v>1.133</v>
      </c>
      <c r="U80" s="26">
        <f t="shared" si="59"/>
        <v>1.133</v>
      </c>
      <c r="V80" s="25">
        <f t="shared" si="68"/>
        <v>0.49253045038736354</v>
      </c>
      <c r="W80" s="25">
        <f t="shared" si="69"/>
        <v>11886.1508143192</v>
      </c>
      <c r="X80" s="25">
        <f t="shared" si="60"/>
        <v>2027.6538484607984</v>
      </c>
      <c r="Y80" s="25">
        <f t="shared" si="61"/>
        <v>0.14507949145558582</v>
      </c>
      <c r="Z80" s="25">
        <f t="shared" si="70"/>
        <v>2.5738464083688561</v>
      </c>
      <c r="AA80" s="25">
        <f t="shared" si="62"/>
        <v>0.82253974572779287</v>
      </c>
      <c r="AB80" s="24">
        <f t="shared" si="63"/>
        <v>1</v>
      </c>
      <c r="AC80" s="24">
        <f t="shared" si="64"/>
        <v>1</v>
      </c>
    </row>
    <row r="81" spans="1:29">
      <c r="A81" s="30" t="s">
        <v>123</v>
      </c>
      <c r="B81" s="34">
        <v>133.30000000000001</v>
      </c>
      <c r="C81" s="40">
        <v>5.43</v>
      </c>
      <c r="D81" s="39">
        <v>392</v>
      </c>
      <c r="E81" s="34">
        <v>61.7</v>
      </c>
      <c r="F81">
        <v>397</v>
      </c>
      <c r="G81" s="59">
        <f t="shared" si="65"/>
        <v>24.548802946593007</v>
      </c>
      <c r="H81" s="58">
        <f t="shared" si="66"/>
        <v>0.45499436194158194</v>
      </c>
      <c r="I81" s="23">
        <f t="shared" si="67"/>
        <v>0.14799999999999999</v>
      </c>
      <c r="J81">
        <v>1820</v>
      </c>
      <c r="K81" s="24">
        <f t="shared" si="50"/>
        <v>1473</v>
      </c>
      <c r="L81" s="25">
        <f t="shared" si="51"/>
        <v>2.978244561140285</v>
      </c>
      <c r="M81" s="24">
        <f t="shared" si="52"/>
        <v>1582</v>
      </c>
      <c r="N81" s="24">
        <f t="shared" si="53"/>
        <v>1846</v>
      </c>
      <c r="O81" s="24">
        <f t="shared" si="71"/>
        <v>1907</v>
      </c>
      <c r="P81" s="24">
        <f t="shared" si="54"/>
        <v>1907</v>
      </c>
      <c r="Q81" s="26">
        <f t="shared" si="55"/>
        <v>1.24</v>
      </c>
      <c r="R81" s="26">
        <f t="shared" si="56"/>
        <v>1.1499999999999999</v>
      </c>
      <c r="S81" s="26">
        <f t="shared" si="57"/>
        <v>0.99</v>
      </c>
      <c r="T81" s="26">
        <f t="shared" si="58"/>
        <v>0.95399999999999996</v>
      </c>
      <c r="U81" s="26">
        <f t="shared" si="59"/>
        <v>0.95399999999999996</v>
      </c>
      <c r="V81" s="25">
        <f t="shared" si="68"/>
        <v>0.54050269653842131</v>
      </c>
      <c r="W81" s="25">
        <f t="shared" si="69"/>
        <v>11774.336214332803</v>
      </c>
      <c r="X81" s="25">
        <f t="shared" si="60"/>
        <v>2181.3144538872002</v>
      </c>
      <c r="Y81" s="25">
        <f t="shared" si="61"/>
        <v>0.14808416826866483</v>
      </c>
      <c r="Z81" s="25">
        <f t="shared" si="70"/>
        <v>2.5332345421906792</v>
      </c>
      <c r="AA81" s="25">
        <f t="shared" si="62"/>
        <v>0.82404208413433244</v>
      </c>
      <c r="AB81" s="24">
        <f t="shared" si="63"/>
        <v>1</v>
      </c>
      <c r="AC81" s="24">
        <f t="shared" si="64"/>
        <v>1</v>
      </c>
    </row>
    <row r="82" spans="1:29">
      <c r="A82" s="30" t="s">
        <v>124</v>
      </c>
      <c r="B82" s="34">
        <v>133.1</v>
      </c>
      <c r="C82" s="40">
        <v>5.44</v>
      </c>
      <c r="D82" s="39">
        <v>392</v>
      </c>
      <c r="E82" s="34">
        <v>61.7</v>
      </c>
      <c r="F82">
        <v>397</v>
      </c>
      <c r="G82" s="59">
        <f t="shared" si="65"/>
        <v>24.46691176470588</v>
      </c>
      <c r="H82" s="58">
        <f t="shared" si="66"/>
        <v>0.45347656793213731</v>
      </c>
      <c r="I82" s="23">
        <f t="shared" si="67"/>
        <v>0.14799999999999999</v>
      </c>
      <c r="J82">
        <v>1915</v>
      </c>
      <c r="K82" s="24">
        <f t="shared" si="50"/>
        <v>1471</v>
      </c>
      <c r="L82" s="25">
        <f t="shared" si="51"/>
        <v>2.9827197595792638</v>
      </c>
      <c r="M82" s="24">
        <f t="shared" si="52"/>
        <v>1579</v>
      </c>
      <c r="N82" s="24">
        <f t="shared" si="53"/>
        <v>1843</v>
      </c>
      <c r="O82" s="24">
        <f t="shared" si="71"/>
        <v>1904</v>
      </c>
      <c r="P82" s="24">
        <f t="shared" si="54"/>
        <v>1904</v>
      </c>
      <c r="Q82" s="26">
        <f t="shared" si="55"/>
        <v>1.3</v>
      </c>
      <c r="R82" s="26">
        <f t="shared" si="56"/>
        <v>1.21</v>
      </c>
      <c r="S82" s="26">
        <f t="shared" si="57"/>
        <v>1.04</v>
      </c>
      <c r="T82" s="26">
        <f t="shared" si="58"/>
        <v>1.006</v>
      </c>
      <c r="U82" s="26">
        <f t="shared" si="59"/>
        <v>1.006</v>
      </c>
      <c r="V82" s="25">
        <f t="shared" si="68"/>
        <v>0.54163592142349892</v>
      </c>
      <c r="W82" s="25">
        <f t="shared" si="69"/>
        <v>11732.0620099032</v>
      </c>
      <c r="X82" s="25">
        <f t="shared" si="60"/>
        <v>2181.7426528767978</v>
      </c>
      <c r="Y82" s="25">
        <f t="shared" si="61"/>
        <v>0.14823997740632541</v>
      </c>
      <c r="Z82" s="25">
        <f t="shared" si="70"/>
        <v>2.531136963307254</v>
      </c>
      <c r="AA82" s="25">
        <f t="shared" si="62"/>
        <v>0.82411998870316272</v>
      </c>
      <c r="AB82" s="24">
        <f t="shared" si="63"/>
        <v>1</v>
      </c>
      <c r="AC82" s="24">
        <f t="shared" si="64"/>
        <v>1</v>
      </c>
    </row>
    <row r="83" spans="1:29">
      <c r="A83" s="30" t="s">
        <v>125</v>
      </c>
      <c r="B83" s="34">
        <v>133.1</v>
      </c>
      <c r="C83" s="40">
        <v>5.43</v>
      </c>
      <c r="D83" s="39">
        <v>392</v>
      </c>
      <c r="E83" s="34">
        <v>61.7</v>
      </c>
      <c r="F83">
        <v>397</v>
      </c>
      <c r="G83" s="59">
        <f t="shared" si="65"/>
        <v>24.511970534069981</v>
      </c>
      <c r="H83" s="58">
        <f t="shared" si="66"/>
        <v>0.45431169973311736</v>
      </c>
      <c r="I83" s="23">
        <f t="shared" si="67"/>
        <v>0.14799999999999999</v>
      </c>
      <c r="J83">
        <v>1930</v>
      </c>
      <c r="K83" s="24">
        <f t="shared" si="50"/>
        <v>1469</v>
      </c>
      <c r="L83" s="25">
        <f t="shared" si="51"/>
        <v>2.9827197595792638</v>
      </c>
      <c r="M83" s="24">
        <f t="shared" si="52"/>
        <v>1578</v>
      </c>
      <c r="N83" s="24">
        <f t="shared" si="53"/>
        <v>1842</v>
      </c>
      <c r="O83" s="24">
        <f t="shared" si="71"/>
        <v>1903</v>
      </c>
      <c r="P83" s="24">
        <f t="shared" si="54"/>
        <v>1903</v>
      </c>
      <c r="Q83" s="26">
        <f t="shared" si="55"/>
        <v>1.31</v>
      </c>
      <c r="R83" s="26">
        <f t="shared" si="56"/>
        <v>1.22</v>
      </c>
      <c r="S83" s="26">
        <f t="shared" si="57"/>
        <v>1.05</v>
      </c>
      <c r="T83" s="26">
        <f t="shared" si="58"/>
        <v>1.014</v>
      </c>
      <c r="U83" s="26">
        <f t="shared" si="59"/>
        <v>1.014</v>
      </c>
      <c r="V83" s="25">
        <f t="shared" si="68"/>
        <v>0.54102525507622157</v>
      </c>
      <c r="W83" s="25">
        <f t="shared" si="69"/>
        <v>11735.9019778048</v>
      </c>
      <c r="X83" s="25">
        <f t="shared" si="60"/>
        <v>2177.9026849751981</v>
      </c>
      <c r="Y83" s="25">
        <f t="shared" si="61"/>
        <v>0.14827485038857063</v>
      </c>
      <c r="Z83" s="25">
        <f t="shared" si="70"/>
        <v>2.530667599193245</v>
      </c>
      <c r="AA83" s="25">
        <f t="shared" si="62"/>
        <v>0.82413742519428534</v>
      </c>
      <c r="AB83" s="24">
        <f t="shared" si="63"/>
        <v>1</v>
      </c>
      <c r="AC83" s="24">
        <f t="shared" si="64"/>
        <v>1</v>
      </c>
    </row>
    <row r="84" spans="1:29">
      <c r="F84" s="66" t="s">
        <v>126</v>
      </c>
      <c r="G84" s="59"/>
      <c r="H84" s="58"/>
      <c r="I84" s="23"/>
      <c r="K84" s="24"/>
      <c r="M84" s="24"/>
      <c r="N84" s="24"/>
      <c r="O84" s="24"/>
      <c r="P84" s="24"/>
      <c r="Q84" s="26"/>
      <c r="R84" s="26"/>
      <c r="S84" s="26"/>
      <c r="T84" s="26"/>
      <c r="U84" s="26"/>
      <c r="V84" s="25"/>
      <c r="W84" s="25">
        <f t="shared" si="69"/>
        <v>0</v>
      </c>
      <c r="X84" s="25"/>
      <c r="Y84" s="25"/>
      <c r="Z84" s="25"/>
      <c r="AA84" s="25"/>
      <c r="AB84" s="24"/>
      <c r="AC84" s="24"/>
    </row>
    <row r="85" spans="1:29">
      <c r="A85" s="32" t="s">
        <v>127</v>
      </c>
      <c r="B85" s="51">
        <v>2004</v>
      </c>
      <c r="C85" s="66" t="s">
        <v>128</v>
      </c>
      <c r="F85" s="66" t="s">
        <v>129</v>
      </c>
      <c r="G85" s="59"/>
      <c r="H85" s="58"/>
      <c r="I85" s="23"/>
      <c r="K85" s="24"/>
      <c r="L85" s="66" t="s">
        <v>130</v>
      </c>
      <c r="M85" s="24"/>
      <c r="N85" s="24"/>
      <c r="O85" s="24"/>
      <c r="P85" s="24"/>
      <c r="Q85" s="26"/>
      <c r="R85" s="26"/>
      <c r="S85" s="26"/>
      <c r="T85" s="26"/>
      <c r="U85" s="26"/>
      <c r="V85" s="25"/>
      <c r="W85" s="25" t="e">
        <f t="shared" si="69"/>
        <v>#VALUE!</v>
      </c>
      <c r="X85" s="25"/>
      <c r="Y85" s="25"/>
      <c r="Z85" s="25"/>
      <c r="AA85" s="25"/>
      <c r="AB85" s="24"/>
      <c r="AC85" s="24"/>
    </row>
    <row r="86" spans="1:29">
      <c r="A86" s="30" t="s">
        <v>131</v>
      </c>
      <c r="B86" s="34">
        <v>149</v>
      </c>
      <c r="C86" s="40">
        <v>2.96</v>
      </c>
      <c r="D86" s="39">
        <v>308</v>
      </c>
      <c r="E86" s="34">
        <v>25.4</v>
      </c>
      <c r="F86">
        <f>3*B86</f>
        <v>447</v>
      </c>
      <c r="G86" s="59">
        <f t="shared" si="65"/>
        <v>50.337837837837839</v>
      </c>
      <c r="H86" s="58">
        <f t="shared" si="66"/>
        <v>0.73305220113730751</v>
      </c>
      <c r="I86" s="23">
        <f t="shared" si="67"/>
        <v>0.123</v>
      </c>
      <c r="J86">
        <v>941</v>
      </c>
      <c r="K86" s="24">
        <f t="shared" si="50"/>
        <v>765</v>
      </c>
      <c r="L86" s="40">
        <f>F86/B86</f>
        <v>3</v>
      </c>
      <c r="M86" s="24">
        <f t="shared" ref="M86:M121" si="72">ROUND((E86*W86+D86*X86)/1000,0)</f>
        <v>827</v>
      </c>
      <c r="N86" s="24">
        <f t="shared" ref="N86:N121" si="73">IF(E86&lt;1,M86,(ROUND((0.85*E86*W86+6*C86*D86*W86/(B86-2*C86))/1000,0)))</f>
        <v>962</v>
      </c>
      <c r="O86" s="24">
        <f t="shared" si="71"/>
        <v>1031</v>
      </c>
      <c r="P86" s="24">
        <f t="shared" ref="P86:P121" si="74">ROUND(AC86*O86,0)</f>
        <v>1031</v>
      </c>
      <c r="Q86" s="26">
        <f t="shared" ref="Q86:Q121" si="75">ROUND((J86/K86),2)</f>
        <v>1.23</v>
      </c>
      <c r="R86" s="26">
        <f t="shared" ref="R86:R121" si="76">ROUND((J86/M86),2)</f>
        <v>1.1399999999999999</v>
      </c>
      <c r="S86" s="26">
        <f t="shared" ref="S86:S121" si="77">ROUND((J86/N86),2)</f>
        <v>0.98</v>
      </c>
      <c r="T86" s="26">
        <f t="shared" ref="T86:T121" si="78">ROUND((J86/O86),3)</f>
        <v>0.91300000000000003</v>
      </c>
      <c r="U86" s="26">
        <f t="shared" ref="U86:U121" si="79">ROUND((J86/P86),3)</f>
        <v>0.91300000000000003</v>
      </c>
      <c r="V86" s="25">
        <f t="shared" si="68"/>
        <v>0.50577635776244456</v>
      </c>
      <c r="W86" s="25">
        <f t="shared" si="69"/>
        <v>16078.578634787204</v>
      </c>
      <c r="X86" s="52">
        <f t="shared" ref="X86:X121" si="80">0.785398*(B86*B86-(B86-2*C86)*(B86-2*C86))</f>
        <v>1358.0423632127977</v>
      </c>
      <c r="Y86" s="25">
        <f t="shared" ref="Y86:Y121" si="81">SQRT((64*M86*F86*F86)/(PI()^3*((B86^4-(B86-2*C86)^4)*200+5.7*(E86+8)^0.33333*((B86-2*C86)^4-H86^4))))</f>
        <v>0.12325766291807856</v>
      </c>
      <c r="Z86" s="25">
        <f t="shared" si="70"/>
        <v>2.8780049109720003</v>
      </c>
      <c r="AA86" s="25">
        <f t="shared" ref="AA86:AA121" si="82">IF((0.25*(3+2*Y86))&gt;1,1,(0.25*(3+2*Y86)))</f>
        <v>0.8116288314590393</v>
      </c>
      <c r="AB86" s="24">
        <f t="shared" ref="AB86:AB121" si="83">IF(Y86&lt;0.2,1,(1+0.158*SQRT(Y86*Y86-0.04)+Y86*Y86))</f>
        <v>1</v>
      </c>
      <c r="AC86" s="24">
        <f t="shared" ref="AC86:AC121" si="84">IF(Y86&lt;0.2,1,(AB86-SQRT(AB86*AB86-4*Y86*Y86))/(2*Y86*Y86))</f>
        <v>1</v>
      </c>
    </row>
    <row r="87" spans="1:29">
      <c r="A87" s="30" t="s">
        <v>132</v>
      </c>
      <c r="B87" s="34">
        <v>149</v>
      </c>
      <c r="C87" s="40">
        <v>2.96</v>
      </c>
      <c r="D87" s="39">
        <v>308</v>
      </c>
      <c r="E87" s="34">
        <v>40.5</v>
      </c>
      <c r="F87">
        <f t="shared" ref="F87:F121" si="85">3*B87</f>
        <v>447</v>
      </c>
      <c r="G87" s="59">
        <f t="shared" si="65"/>
        <v>50.337837837837839</v>
      </c>
      <c r="H87" s="58">
        <f t="shared" si="66"/>
        <v>0.73305220113730751</v>
      </c>
      <c r="I87" s="23">
        <f t="shared" si="67"/>
        <v>0.13700000000000001</v>
      </c>
      <c r="J87">
        <v>1064</v>
      </c>
      <c r="K87" s="24">
        <f t="shared" si="50"/>
        <v>972</v>
      </c>
      <c r="L87" s="40">
        <f t="shared" ref="L87:L143" si="86">F87/B87</f>
        <v>3</v>
      </c>
      <c r="M87" s="24">
        <f t="shared" si="72"/>
        <v>1069</v>
      </c>
      <c r="N87" s="24">
        <f t="shared" si="73"/>
        <v>1168</v>
      </c>
      <c r="O87" s="24">
        <f t="shared" si="71"/>
        <v>1258</v>
      </c>
      <c r="P87" s="24">
        <f t="shared" si="74"/>
        <v>1258</v>
      </c>
      <c r="Q87" s="26">
        <f t="shared" si="75"/>
        <v>1.0900000000000001</v>
      </c>
      <c r="R87" s="26">
        <f t="shared" si="76"/>
        <v>1</v>
      </c>
      <c r="S87" s="26">
        <f t="shared" si="77"/>
        <v>0.91</v>
      </c>
      <c r="T87" s="26">
        <f t="shared" si="78"/>
        <v>0.84599999999999997</v>
      </c>
      <c r="U87" s="26">
        <f t="shared" si="79"/>
        <v>0.84599999999999997</v>
      </c>
      <c r="V87" s="25">
        <f t="shared" si="68"/>
        <v>0.39127880998086217</v>
      </c>
      <c r="W87" s="25">
        <f t="shared" si="69"/>
        <v>16078.578634787204</v>
      </c>
      <c r="X87" s="52">
        <f t="shared" si="80"/>
        <v>1358.0423632127977</v>
      </c>
      <c r="Y87" s="25">
        <f t="shared" si="81"/>
        <v>0.13706148701125628</v>
      </c>
      <c r="Z87" s="25">
        <f t="shared" si="70"/>
        <v>2.6837219610612841</v>
      </c>
      <c r="AA87" s="25">
        <f t="shared" si="82"/>
        <v>0.81853074350562816</v>
      </c>
      <c r="AB87" s="24">
        <f t="shared" si="83"/>
        <v>1</v>
      </c>
      <c r="AC87" s="24">
        <f t="shared" si="84"/>
        <v>1</v>
      </c>
    </row>
    <row r="88" spans="1:29">
      <c r="A88" s="30" t="s">
        <v>133</v>
      </c>
      <c r="B88" s="34">
        <v>149</v>
      </c>
      <c r="C88" s="40">
        <v>2.96</v>
      </c>
      <c r="D88" s="39">
        <v>308</v>
      </c>
      <c r="E88" s="34">
        <v>40.5</v>
      </c>
      <c r="F88">
        <f t="shared" si="85"/>
        <v>447</v>
      </c>
      <c r="G88" s="59">
        <f t="shared" si="65"/>
        <v>50.337837837837839</v>
      </c>
      <c r="H88" s="58">
        <f t="shared" si="66"/>
        <v>0.73305220113730751</v>
      </c>
      <c r="I88" s="23">
        <f t="shared" si="67"/>
        <v>0.13700000000000001</v>
      </c>
      <c r="J88">
        <v>1080</v>
      </c>
      <c r="K88" s="24">
        <f t="shared" si="50"/>
        <v>972</v>
      </c>
      <c r="L88" s="40">
        <f t="shared" si="86"/>
        <v>3</v>
      </c>
      <c r="M88" s="24">
        <f t="shared" si="72"/>
        <v>1069</v>
      </c>
      <c r="N88" s="24">
        <f t="shared" si="73"/>
        <v>1168</v>
      </c>
      <c r="O88" s="24">
        <f t="shared" si="71"/>
        <v>1258</v>
      </c>
      <c r="P88" s="24">
        <f t="shared" si="74"/>
        <v>1258</v>
      </c>
      <c r="Q88" s="26">
        <f t="shared" si="75"/>
        <v>1.1100000000000001</v>
      </c>
      <c r="R88" s="26">
        <f t="shared" si="76"/>
        <v>1.01</v>
      </c>
      <c r="S88" s="26">
        <f t="shared" si="77"/>
        <v>0.92</v>
      </c>
      <c r="T88" s="26">
        <f t="shared" si="78"/>
        <v>0.85899999999999999</v>
      </c>
      <c r="U88" s="26">
        <f t="shared" si="79"/>
        <v>0.85899999999999999</v>
      </c>
      <c r="V88" s="25">
        <f t="shared" si="68"/>
        <v>0.39127880998086217</v>
      </c>
      <c r="W88" s="25">
        <f t="shared" si="69"/>
        <v>16078.578634787204</v>
      </c>
      <c r="X88" s="52">
        <f t="shared" si="80"/>
        <v>1358.0423632127977</v>
      </c>
      <c r="Y88" s="25">
        <f t="shared" si="81"/>
        <v>0.13706148701125628</v>
      </c>
      <c r="Z88" s="25">
        <f t="shared" si="70"/>
        <v>2.6837219610612841</v>
      </c>
      <c r="AA88" s="25">
        <f t="shared" si="82"/>
        <v>0.81853074350562816</v>
      </c>
      <c r="AB88" s="24">
        <f t="shared" si="83"/>
        <v>1</v>
      </c>
      <c r="AC88" s="24">
        <f t="shared" si="84"/>
        <v>1</v>
      </c>
    </row>
    <row r="89" spans="1:29">
      <c r="A89" s="30" t="s">
        <v>134</v>
      </c>
      <c r="B89" s="34">
        <v>149</v>
      </c>
      <c r="C89" s="40">
        <v>2.96</v>
      </c>
      <c r="D89" s="39">
        <v>308</v>
      </c>
      <c r="E89" s="34">
        <v>77</v>
      </c>
      <c r="F89">
        <f t="shared" si="85"/>
        <v>447</v>
      </c>
      <c r="G89" s="59">
        <f t="shared" si="65"/>
        <v>50.337837837837839</v>
      </c>
      <c r="H89" s="58">
        <f t="shared" si="66"/>
        <v>0.73305220113730751</v>
      </c>
      <c r="I89" s="23">
        <f t="shared" si="67"/>
        <v>0.16400000000000001</v>
      </c>
      <c r="J89">
        <v>1781</v>
      </c>
      <c r="K89" s="24">
        <f t="shared" si="50"/>
        <v>1471</v>
      </c>
      <c r="L89" s="40">
        <f t="shared" si="86"/>
        <v>3</v>
      </c>
      <c r="M89" s="24">
        <f t="shared" si="72"/>
        <v>1656</v>
      </c>
      <c r="N89" s="24">
        <f t="shared" si="73"/>
        <v>1667</v>
      </c>
      <c r="O89" s="24">
        <f t="shared" si="71"/>
        <v>1814</v>
      </c>
      <c r="P89" s="24">
        <f t="shared" si="74"/>
        <v>1814</v>
      </c>
      <c r="Q89" s="26">
        <f t="shared" si="75"/>
        <v>1.21</v>
      </c>
      <c r="R89" s="26">
        <f t="shared" si="76"/>
        <v>1.08</v>
      </c>
      <c r="S89" s="26">
        <f t="shared" si="77"/>
        <v>1.07</v>
      </c>
      <c r="T89" s="26">
        <f t="shared" si="78"/>
        <v>0.98199999999999998</v>
      </c>
      <c r="U89" s="26">
        <f t="shared" si="79"/>
        <v>0.98199999999999998</v>
      </c>
      <c r="V89" s="25">
        <f t="shared" si="68"/>
        <v>0.25258275837532712</v>
      </c>
      <c r="W89" s="25">
        <f t="shared" si="69"/>
        <v>16078.578634787204</v>
      </c>
      <c r="X89" s="52">
        <f t="shared" si="80"/>
        <v>1358.0423632127977</v>
      </c>
      <c r="Y89" s="25">
        <f t="shared" si="81"/>
        <v>0.1644302988630979</v>
      </c>
      <c r="Z89" s="25">
        <f t="shared" si="70"/>
        <v>2.3176739651642198</v>
      </c>
      <c r="AA89" s="25">
        <f t="shared" si="82"/>
        <v>0.83221514943154895</v>
      </c>
      <c r="AB89" s="24">
        <f t="shared" si="83"/>
        <v>1</v>
      </c>
      <c r="AC89" s="24">
        <f t="shared" si="84"/>
        <v>1</v>
      </c>
    </row>
    <row r="90" spans="1:29">
      <c r="A90" s="30" t="s">
        <v>135</v>
      </c>
      <c r="B90" s="34">
        <v>301</v>
      </c>
      <c r="C90" s="40">
        <v>2.96</v>
      </c>
      <c r="D90" s="39">
        <v>279</v>
      </c>
      <c r="E90" s="34">
        <v>25.4</v>
      </c>
      <c r="F90">
        <f t="shared" si="85"/>
        <v>903</v>
      </c>
      <c r="G90" s="59">
        <f t="shared" si="65"/>
        <v>101.68918918918919</v>
      </c>
      <c r="H90" s="58">
        <f t="shared" si="66"/>
        <v>1.3414318573893043</v>
      </c>
      <c r="I90" s="23">
        <f t="shared" si="67"/>
        <v>0.126</v>
      </c>
      <c r="J90">
        <v>2382</v>
      </c>
      <c r="K90" s="24">
        <f t="shared" si="50"/>
        <v>2250</v>
      </c>
      <c r="L90" s="40">
        <f t="shared" si="86"/>
        <v>3</v>
      </c>
      <c r="M90" s="24">
        <f t="shared" si="72"/>
        <v>2510</v>
      </c>
      <c r="N90" s="24">
        <f t="shared" si="73"/>
        <v>2625</v>
      </c>
      <c r="O90" s="24">
        <f t="shared" si="71"/>
        <v>2897</v>
      </c>
      <c r="P90" s="24">
        <f t="shared" si="74"/>
        <v>2897</v>
      </c>
      <c r="Q90" s="26">
        <f t="shared" si="75"/>
        <v>1.06</v>
      </c>
      <c r="R90" s="26">
        <f t="shared" si="76"/>
        <v>0.95</v>
      </c>
      <c r="S90" s="26">
        <f t="shared" si="77"/>
        <v>0.91</v>
      </c>
      <c r="T90" s="26">
        <f t="shared" si="78"/>
        <v>0.82199999999999995</v>
      </c>
      <c r="U90" s="26">
        <f t="shared" si="79"/>
        <v>0.82199999999999995</v>
      </c>
      <c r="V90" s="25">
        <f t="shared" si="68"/>
        <v>0.30806795800913633</v>
      </c>
      <c r="W90" s="25">
        <f t="shared" si="69"/>
        <v>68386.336762147199</v>
      </c>
      <c r="X90" s="52">
        <f t="shared" si="80"/>
        <v>2771.5074358528036</v>
      </c>
      <c r="Y90" s="25">
        <f t="shared" si="81"/>
        <v>0.12636430313120817</v>
      </c>
      <c r="Z90" s="25">
        <f t="shared" si="70"/>
        <v>2.8337153228718588</v>
      </c>
      <c r="AA90" s="25">
        <f t="shared" si="82"/>
        <v>0.81318215156560414</v>
      </c>
      <c r="AB90" s="24">
        <f t="shared" si="83"/>
        <v>1</v>
      </c>
      <c r="AC90" s="24">
        <f t="shared" si="84"/>
        <v>1</v>
      </c>
    </row>
    <row r="91" spans="1:29">
      <c r="A91" s="30" t="s">
        <v>136</v>
      </c>
      <c r="B91" s="34">
        <v>300</v>
      </c>
      <c r="C91" s="40">
        <v>2.96</v>
      </c>
      <c r="D91" s="39">
        <v>279</v>
      </c>
      <c r="E91" s="34">
        <v>41.1</v>
      </c>
      <c r="F91">
        <f t="shared" si="85"/>
        <v>900</v>
      </c>
      <c r="G91" s="59">
        <f t="shared" si="65"/>
        <v>101.35135135135135</v>
      </c>
      <c r="H91" s="58">
        <f t="shared" si="66"/>
        <v>1.3369752731454858</v>
      </c>
      <c r="I91" s="23">
        <f t="shared" si="67"/>
        <v>0.14599999999999999</v>
      </c>
      <c r="J91">
        <v>3277</v>
      </c>
      <c r="K91" s="24">
        <f t="shared" si="50"/>
        <v>3144</v>
      </c>
      <c r="L91" s="40">
        <f t="shared" si="86"/>
        <v>3</v>
      </c>
      <c r="M91" s="24">
        <f t="shared" si="72"/>
        <v>3562</v>
      </c>
      <c r="N91" s="24">
        <f t="shared" si="73"/>
        <v>3517</v>
      </c>
      <c r="O91" s="24">
        <f t="shared" si="71"/>
        <v>3905</v>
      </c>
      <c r="P91" s="24">
        <f t="shared" si="74"/>
        <v>3905</v>
      </c>
      <c r="Q91" s="26">
        <f t="shared" si="75"/>
        <v>1.04</v>
      </c>
      <c r="R91" s="26">
        <f t="shared" si="76"/>
        <v>0.92</v>
      </c>
      <c r="S91" s="26">
        <f t="shared" si="77"/>
        <v>0.93</v>
      </c>
      <c r="T91" s="26">
        <f t="shared" si="78"/>
        <v>0.83899999999999997</v>
      </c>
      <c r="U91" s="26">
        <f t="shared" si="79"/>
        <v>0.83899999999999997</v>
      </c>
      <c r="V91" s="25">
        <f t="shared" si="68"/>
        <v>0.21635489114701095</v>
      </c>
      <c r="W91" s="25">
        <f t="shared" si="69"/>
        <v>67923.611676467204</v>
      </c>
      <c r="X91" s="52">
        <f t="shared" si="80"/>
        <v>2762.2083235328064</v>
      </c>
      <c r="Y91" s="25">
        <f t="shared" si="81"/>
        <v>0.14577602690905919</v>
      </c>
      <c r="Z91" s="25">
        <f t="shared" si="70"/>
        <v>2.5644045525460482</v>
      </c>
      <c r="AA91" s="25">
        <f t="shared" si="82"/>
        <v>0.82288801345452955</v>
      </c>
      <c r="AB91" s="24">
        <f t="shared" si="83"/>
        <v>1</v>
      </c>
      <c r="AC91" s="24">
        <f t="shared" si="84"/>
        <v>1</v>
      </c>
    </row>
    <row r="92" spans="1:29">
      <c r="A92" s="30" t="s">
        <v>137</v>
      </c>
      <c r="B92" s="34">
        <v>300</v>
      </c>
      <c r="C92" s="40">
        <v>2.96</v>
      </c>
      <c r="D92" s="39">
        <v>279</v>
      </c>
      <c r="E92" s="34">
        <v>41.1</v>
      </c>
      <c r="F92">
        <f t="shared" si="85"/>
        <v>900</v>
      </c>
      <c r="G92" s="59">
        <f t="shared" si="65"/>
        <v>101.35135135135135</v>
      </c>
      <c r="H92" s="58">
        <f t="shared" si="66"/>
        <v>1.3369752731454858</v>
      </c>
      <c r="I92" s="23">
        <f t="shared" si="67"/>
        <v>0.14599999999999999</v>
      </c>
      <c r="J92">
        <v>3152</v>
      </c>
      <c r="K92" s="24">
        <f t="shared" si="50"/>
        <v>3144</v>
      </c>
      <c r="L92" s="40">
        <f t="shared" si="86"/>
        <v>3</v>
      </c>
      <c r="M92" s="24">
        <f t="shared" si="72"/>
        <v>3562</v>
      </c>
      <c r="N92" s="24">
        <f t="shared" si="73"/>
        <v>3517</v>
      </c>
      <c r="O92" s="24">
        <f t="shared" si="71"/>
        <v>3905</v>
      </c>
      <c r="P92" s="24">
        <f t="shared" si="74"/>
        <v>3905</v>
      </c>
      <c r="Q92" s="26">
        <f t="shared" si="75"/>
        <v>1</v>
      </c>
      <c r="R92" s="26">
        <f t="shared" si="76"/>
        <v>0.88</v>
      </c>
      <c r="S92" s="26">
        <f t="shared" si="77"/>
        <v>0.9</v>
      </c>
      <c r="T92" s="26">
        <f t="shared" si="78"/>
        <v>0.80700000000000005</v>
      </c>
      <c r="U92" s="26">
        <f t="shared" si="79"/>
        <v>0.80700000000000005</v>
      </c>
      <c r="V92" s="25">
        <f t="shared" si="68"/>
        <v>0.21635489114701095</v>
      </c>
      <c r="W92" s="25">
        <f t="shared" si="69"/>
        <v>67923.611676467204</v>
      </c>
      <c r="X92" s="52">
        <f t="shared" si="80"/>
        <v>2762.2083235328064</v>
      </c>
      <c r="Y92" s="25">
        <f t="shared" si="81"/>
        <v>0.14577602690905919</v>
      </c>
      <c r="Z92" s="25">
        <f t="shared" si="70"/>
        <v>2.5644045525460482</v>
      </c>
      <c r="AA92" s="25">
        <f t="shared" si="82"/>
        <v>0.82288801345452955</v>
      </c>
      <c r="AB92" s="24">
        <f t="shared" si="83"/>
        <v>1</v>
      </c>
      <c r="AC92" s="24">
        <f t="shared" si="84"/>
        <v>1</v>
      </c>
    </row>
    <row r="93" spans="1:29">
      <c r="A93" s="30" t="s">
        <v>138</v>
      </c>
      <c r="B93" s="34">
        <v>301</v>
      </c>
      <c r="C93" s="40">
        <v>2.96</v>
      </c>
      <c r="D93" s="39">
        <v>279</v>
      </c>
      <c r="E93" s="34">
        <v>80.3</v>
      </c>
      <c r="F93">
        <f t="shared" si="85"/>
        <v>903</v>
      </c>
      <c r="G93" s="59">
        <f t="shared" si="65"/>
        <v>101.68918918918919</v>
      </c>
      <c r="H93" s="58">
        <f t="shared" si="66"/>
        <v>1.3414318573893043</v>
      </c>
      <c r="I93" s="23">
        <f t="shared" si="67"/>
        <v>0.182</v>
      </c>
      <c r="J93">
        <v>5540</v>
      </c>
      <c r="K93" s="24">
        <f t="shared" si="50"/>
        <v>5441</v>
      </c>
      <c r="L93" s="40">
        <f t="shared" si="86"/>
        <v>3</v>
      </c>
      <c r="M93" s="24">
        <f t="shared" si="72"/>
        <v>6265</v>
      </c>
      <c r="N93" s="24">
        <f t="shared" si="73"/>
        <v>5816</v>
      </c>
      <c r="O93" s="24">
        <f t="shared" si="71"/>
        <v>6535</v>
      </c>
      <c r="P93" s="24">
        <f t="shared" si="74"/>
        <v>6535</v>
      </c>
      <c r="Q93" s="26">
        <f t="shared" si="75"/>
        <v>1.02</v>
      </c>
      <c r="R93" s="26">
        <f t="shared" si="76"/>
        <v>0.88</v>
      </c>
      <c r="S93" s="26">
        <f t="shared" si="77"/>
        <v>0.95</v>
      </c>
      <c r="T93" s="26">
        <f t="shared" si="78"/>
        <v>0.84799999999999998</v>
      </c>
      <c r="U93" s="26">
        <f t="shared" si="79"/>
        <v>0.84799999999999998</v>
      </c>
      <c r="V93" s="25">
        <f t="shared" si="68"/>
        <v>0.12342387463733953</v>
      </c>
      <c r="W93" s="25">
        <f t="shared" si="69"/>
        <v>68386.336762147199</v>
      </c>
      <c r="X93" s="52">
        <f t="shared" si="80"/>
        <v>2771.5074358528036</v>
      </c>
      <c r="Y93" s="25">
        <f t="shared" si="81"/>
        <v>0.18214503544929389</v>
      </c>
      <c r="Z93" s="25">
        <f t="shared" si="70"/>
        <v>2.0943226811480802</v>
      </c>
      <c r="AA93" s="25">
        <f t="shared" si="82"/>
        <v>0.84107251772464697</v>
      </c>
      <c r="AB93" s="24">
        <f t="shared" si="83"/>
        <v>1</v>
      </c>
      <c r="AC93" s="24">
        <f t="shared" si="84"/>
        <v>1</v>
      </c>
    </row>
    <row r="94" spans="1:29">
      <c r="A94" s="30" t="s">
        <v>139</v>
      </c>
      <c r="B94" s="34">
        <v>450</v>
      </c>
      <c r="C94" s="40">
        <v>2.96</v>
      </c>
      <c r="D94" s="39">
        <v>279</v>
      </c>
      <c r="E94" s="34">
        <v>25.4</v>
      </c>
      <c r="F94">
        <f t="shared" si="85"/>
        <v>1350</v>
      </c>
      <c r="G94" s="59">
        <f t="shared" si="65"/>
        <v>152.02702702702703</v>
      </c>
      <c r="H94" s="58">
        <f t="shared" si="66"/>
        <v>2.0054629097182288</v>
      </c>
      <c r="I94" s="23">
        <f t="shared" si="67"/>
        <v>0.13</v>
      </c>
      <c r="J94">
        <v>4415</v>
      </c>
      <c r="K94" s="24">
        <f t="shared" si="50"/>
        <v>4504</v>
      </c>
      <c r="L94" s="40">
        <f t="shared" si="86"/>
        <v>3</v>
      </c>
      <c r="M94" s="24">
        <f t="shared" si="72"/>
        <v>5094</v>
      </c>
      <c r="N94" s="24">
        <f t="shared" si="73"/>
        <v>5072</v>
      </c>
      <c r="O94" s="24">
        <f t="shared" si="71"/>
        <v>5671</v>
      </c>
      <c r="P94" s="24">
        <f t="shared" si="74"/>
        <v>5671</v>
      </c>
      <c r="Q94" s="26">
        <f t="shared" si="75"/>
        <v>0.98</v>
      </c>
      <c r="R94" s="26">
        <f t="shared" si="76"/>
        <v>0.87</v>
      </c>
      <c r="S94" s="26">
        <f t="shared" si="77"/>
        <v>0.87</v>
      </c>
      <c r="T94" s="26">
        <f t="shared" si="78"/>
        <v>0.77900000000000003</v>
      </c>
      <c r="U94" s="26">
        <f t="shared" si="79"/>
        <v>0.77900000000000003</v>
      </c>
      <c r="V94" s="25">
        <f t="shared" si="68"/>
        <v>0.22768432918289222</v>
      </c>
      <c r="W94" s="25">
        <f t="shared" si="69"/>
        <v>154886.01982846719</v>
      </c>
      <c r="X94" s="52">
        <f t="shared" si="80"/>
        <v>4157.0751715328061</v>
      </c>
      <c r="Y94" s="25">
        <f t="shared" si="81"/>
        <v>0.1298211540248963</v>
      </c>
      <c r="Z94" s="25">
        <f t="shared" si="70"/>
        <v>2.7848186950894682</v>
      </c>
      <c r="AA94" s="25">
        <f t="shared" si="82"/>
        <v>0.81491057701244818</v>
      </c>
      <c r="AB94" s="24">
        <f t="shared" si="83"/>
        <v>1</v>
      </c>
      <c r="AC94" s="24">
        <f t="shared" si="84"/>
        <v>1</v>
      </c>
    </row>
    <row r="95" spans="1:29">
      <c r="A95" s="30" t="s">
        <v>140</v>
      </c>
      <c r="B95" s="34">
        <v>450</v>
      </c>
      <c r="C95" s="40">
        <v>2.96</v>
      </c>
      <c r="D95" s="39">
        <v>279</v>
      </c>
      <c r="E95" s="34">
        <v>41.1</v>
      </c>
      <c r="F95">
        <f t="shared" si="85"/>
        <v>1350</v>
      </c>
      <c r="G95" s="59">
        <f t="shared" si="65"/>
        <v>152.02702702702703</v>
      </c>
      <c r="H95" s="58">
        <f t="shared" si="66"/>
        <v>2.0054629097182288</v>
      </c>
      <c r="I95" s="23">
        <f t="shared" si="67"/>
        <v>0.151</v>
      </c>
      <c r="J95">
        <v>6870</v>
      </c>
      <c r="K95" s="24">
        <f t="shared" si="50"/>
        <v>6571</v>
      </c>
      <c r="L95" s="40">
        <f t="shared" si="86"/>
        <v>3</v>
      </c>
      <c r="M95" s="24">
        <f t="shared" si="72"/>
        <v>7526</v>
      </c>
      <c r="N95" s="24">
        <f t="shared" si="73"/>
        <v>7139</v>
      </c>
      <c r="O95" s="24">
        <f t="shared" si="71"/>
        <v>8031</v>
      </c>
      <c r="P95" s="24">
        <f t="shared" si="74"/>
        <v>8031</v>
      </c>
      <c r="Q95" s="26">
        <f t="shared" si="75"/>
        <v>1.05</v>
      </c>
      <c r="R95" s="26">
        <f t="shared" si="76"/>
        <v>0.91</v>
      </c>
      <c r="S95" s="26">
        <f t="shared" si="77"/>
        <v>0.96</v>
      </c>
      <c r="T95" s="26">
        <f t="shared" si="78"/>
        <v>0.85499999999999998</v>
      </c>
      <c r="U95" s="26">
        <f t="shared" si="79"/>
        <v>0.85499999999999998</v>
      </c>
      <c r="V95" s="25">
        <f t="shared" si="68"/>
        <v>0.1541089520140384</v>
      </c>
      <c r="W95" s="25">
        <f t="shared" si="69"/>
        <v>154886.01982846719</v>
      </c>
      <c r="X95" s="52">
        <f t="shared" si="80"/>
        <v>4157.0751715328061</v>
      </c>
      <c r="Y95" s="25">
        <f t="shared" si="81"/>
        <v>0.15141680511066527</v>
      </c>
      <c r="Z95" s="25">
        <f t="shared" si="70"/>
        <v>2.4885489362413531</v>
      </c>
      <c r="AA95" s="25">
        <f t="shared" si="82"/>
        <v>0.82570840255533262</v>
      </c>
      <c r="AB95" s="24">
        <f t="shared" si="83"/>
        <v>1</v>
      </c>
      <c r="AC95" s="24">
        <f t="shared" si="84"/>
        <v>1</v>
      </c>
    </row>
    <row r="96" spans="1:29">
      <c r="A96" s="30" t="s">
        <v>141</v>
      </c>
      <c r="B96" s="34">
        <v>450</v>
      </c>
      <c r="C96" s="40">
        <v>2.96</v>
      </c>
      <c r="D96" s="39">
        <v>279</v>
      </c>
      <c r="E96" s="34">
        <v>41.1</v>
      </c>
      <c r="F96">
        <f t="shared" si="85"/>
        <v>1350</v>
      </c>
      <c r="G96" s="59">
        <f t="shared" si="65"/>
        <v>152.02702702702703</v>
      </c>
      <c r="H96" s="58">
        <f t="shared" si="66"/>
        <v>2.0054629097182288</v>
      </c>
      <c r="I96" s="23">
        <f t="shared" si="67"/>
        <v>0.151</v>
      </c>
      <c r="J96">
        <v>6985</v>
      </c>
      <c r="K96" s="24">
        <f t="shared" si="50"/>
        <v>6571</v>
      </c>
      <c r="L96" s="40">
        <f t="shared" si="86"/>
        <v>3</v>
      </c>
      <c r="M96" s="24">
        <f t="shared" si="72"/>
        <v>7526</v>
      </c>
      <c r="N96" s="24">
        <f t="shared" si="73"/>
        <v>7139</v>
      </c>
      <c r="O96" s="24">
        <f t="shared" si="71"/>
        <v>8031</v>
      </c>
      <c r="P96" s="24">
        <f t="shared" si="74"/>
        <v>8031</v>
      </c>
      <c r="Q96" s="26">
        <f t="shared" si="75"/>
        <v>1.06</v>
      </c>
      <c r="R96" s="26">
        <f t="shared" si="76"/>
        <v>0.93</v>
      </c>
      <c r="S96" s="26">
        <f t="shared" si="77"/>
        <v>0.98</v>
      </c>
      <c r="T96" s="26">
        <f t="shared" si="78"/>
        <v>0.87</v>
      </c>
      <c r="U96" s="26">
        <f t="shared" si="79"/>
        <v>0.87</v>
      </c>
      <c r="V96" s="25">
        <f t="shared" si="68"/>
        <v>0.1541089520140384</v>
      </c>
      <c r="W96" s="25">
        <f t="shared" si="69"/>
        <v>154886.01982846719</v>
      </c>
      <c r="X96" s="52">
        <f t="shared" si="80"/>
        <v>4157.0751715328061</v>
      </c>
      <c r="Y96" s="25">
        <f t="shared" si="81"/>
        <v>0.15141680511066527</v>
      </c>
      <c r="Z96" s="25">
        <f t="shared" si="70"/>
        <v>2.4885489362413531</v>
      </c>
      <c r="AA96" s="25">
        <f t="shared" si="82"/>
        <v>0.82570840255533262</v>
      </c>
      <c r="AB96" s="24">
        <f t="shared" si="83"/>
        <v>1</v>
      </c>
      <c r="AC96" s="24">
        <f t="shared" si="84"/>
        <v>1</v>
      </c>
    </row>
    <row r="97" spans="1:29">
      <c r="A97" s="30" t="s">
        <v>142</v>
      </c>
      <c r="B97" s="34">
        <v>450</v>
      </c>
      <c r="C97" s="40">
        <v>2.96</v>
      </c>
      <c r="D97" s="39">
        <v>279</v>
      </c>
      <c r="E97" s="34">
        <v>85.1</v>
      </c>
      <c r="F97">
        <f t="shared" si="85"/>
        <v>1350</v>
      </c>
      <c r="G97" s="59">
        <f t="shared" si="65"/>
        <v>152.02702702702703</v>
      </c>
      <c r="H97" s="58">
        <f t="shared" si="66"/>
        <v>2.0054629097182288</v>
      </c>
      <c r="I97" s="23">
        <f t="shared" si="67"/>
        <v>0.19400000000000001</v>
      </c>
      <c r="J97">
        <v>11665</v>
      </c>
      <c r="K97" s="24">
        <f t="shared" si="50"/>
        <v>12364</v>
      </c>
      <c r="L97" s="40">
        <f t="shared" si="86"/>
        <v>3</v>
      </c>
      <c r="M97" s="24">
        <f t="shared" si="72"/>
        <v>14341</v>
      </c>
      <c r="N97" s="24">
        <f t="shared" si="73"/>
        <v>12932</v>
      </c>
      <c r="O97" s="24">
        <f t="shared" si="71"/>
        <v>14717</v>
      </c>
      <c r="P97" s="24">
        <f t="shared" si="74"/>
        <v>14717</v>
      </c>
      <c r="Q97" s="26">
        <f t="shared" si="75"/>
        <v>0.94</v>
      </c>
      <c r="R97" s="26">
        <f t="shared" si="76"/>
        <v>0.81</v>
      </c>
      <c r="S97" s="26">
        <f t="shared" si="77"/>
        <v>0.9</v>
      </c>
      <c r="T97" s="26">
        <f t="shared" si="78"/>
        <v>0.79300000000000004</v>
      </c>
      <c r="U97" s="26">
        <f t="shared" si="79"/>
        <v>0.79300000000000004</v>
      </c>
      <c r="V97" s="25">
        <f t="shared" si="68"/>
        <v>8.0874693037978729E-2</v>
      </c>
      <c r="W97" s="25">
        <f t="shared" si="69"/>
        <v>154886.01982846719</v>
      </c>
      <c r="X97" s="52">
        <f t="shared" si="80"/>
        <v>4157.0751715328061</v>
      </c>
      <c r="Y97" s="25">
        <f t="shared" si="81"/>
        <v>0.19438079321865739</v>
      </c>
      <c r="Z97" s="25">
        <f t="shared" si="70"/>
        <v>1.946281502584184</v>
      </c>
      <c r="AA97" s="25">
        <f t="shared" si="82"/>
        <v>0.84719039660932871</v>
      </c>
      <c r="AB97" s="24">
        <f t="shared" si="83"/>
        <v>1</v>
      </c>
      <c r="AC97" s="24">
        <f t="shared" si="84"/>
        <v>1</v>
      </c>
    </row>
    <row r="98" spans="1:29">
      <c r="A98" s="30" t="s">
        <v>143</v>
      </c>
      <c r="B98" s="34">
        <v>122</v>
      </c>
      <c r="C98">
        <v>4.54</v>
      </c>
      <c r="D98">
        <v>576</v>
      </c>
      <c r="E98" s="34">
        <v>25.4</v>
      </c>
      <c r="F98">
        <f t="shared" si="85"/>
        <v>366</v>
      </c>
      <c r="G98" s="59">
        <f t="shared" si="65"/>
        <v>26.872246696035241</v>
      </c>
      <c r="H98" s="58">
        <f t="shared" si="66"/>
        <v>0.73183991001968318</v>
      </c>
      <c r="I98" s="23">
        <f t="shared" si="67"/>
        <v>0.151</v>
      </c>
      <c r="J98">
        <v>1509</v>
      </c>
      <c r="K98" s="24">
        <f t="shared" si="50"/>
        <v>1181</v>
      </c>
      <c r="L98" s="40">
        <f t="shared" si="86"/>
        <v>3</v>
      </c>
      <c r="M98" s="24">
        <f t="shared" si="72"/>
        <v>1219</v>
      </c>
      <c r="N98" s="24">
        <f t="shared" si="73"/>
        <v>1608</v>
      </c>
      <c r="O98" s="24">
        <f t="shared" si="71"/>
        <v>1586</v>
      </c>
      <c r="P98" s="24">
        <f t="shared" si="74"/>
        <v>1586</v>
      </c>
      <c r="Q98" s="26">
        <f t="shared" si="75"/>
        <v>1.28</v>
      </c>
      <c r="R98" s="26">
        <f t="shared" si="76"/>
        <v>1.24</v>
      </c>
      <c r="S98" s="26">
        <f t="shared" si="77"/>
        <v>0.94</v>
      </c>
      <c r="T98" s="26">
        <f t="shared" si="78"/>
        <v>0.95099999999999996</v>
      </c>
      <c r="U98" s="26">
        <f t="shared" si="79"/>
        <v>0.95099999999999996</v>
      </c>
      <c r="V98" s="25">
        <f t="shared" si="68"/>
        <v>0.79161571930488328</v>
      </c>
      <c r="W98" s="25">
        <f t="shared" si="69"/>
        <v>10014.552092707201</v>
      </c>
      <c r="X98" s="52">
        <f t="shared" si="80"/>
        <v>1675.3117392927998</v>
      </c>
      <c r="Y98" s="25">
        <f t="shared" si="81"/>
        <v>0.15104273804622412</v>
      </c>
      <c r="Z98" s="25">
        <f t="shared" si="70"/>
        <v>2.4935457943253589</v>
      </c>
      <c r="AA98" s="25">
        <f t="shared" si="82"/>
        <v>0.82552136902311202</v>
      </c>
      <c r="AB98" s="24">
        <f t="shared" si="83"/>
        <v>1</v>
      </c>
      <c r="AC98" s="24">
        <f t="shared" si="84"/>
        <v>1</v>
      </c>
    </row>
    <row r="99" spans="1:29">
      <c r="A99" s="30" t="s">
        <v>144</v>
      </c>
      <c r="B99" s="34">
        <v>122</v>
      </c>
      <c r="C99">
        <v>4.54</v>
      </c>
      <c r="D99">
        <v>576</v>
      </c>
      <c r="E99" s="34">
        <v>40.5</v>
      </c>
      <c r="F99">
        <f t="shared" si="85"/>
        <v>366</v>
      </c>
      <c r="G99" s="59">
        <f t="shared" si="65"/>
        <v>26.872246696035241</v>
      </c>
      <c r="H99" s="58">
        <f t="shared" si="66"/>
        <v>0.73183991001968318</v>
      </c>
      <c r="I99" s="23">
        <f t="shared" si="67"/>
        <v>0.158</v>
      </c>
      <c r="J99">
        <v>1657</v>
      </c>
      <c r="K99" s="24">
        <f t="shared" si="50"/>
        <v>1310</v>
      </c>
      <c r="L99" s="40">
        <f t="shared" si="86"/>
        <v>3</v>
      </c>
      <c r="M99" s="24">
        <f t="shared" si="72"/>
        <v>1371</v>
      </c>
      <c r="N99" s="24">
        <f t="shared" si="73"/>
        <v>1736</v>
      </c>
      <c r="O99" s="24">
        <f t="shared" si="71"/>
        <v>1721</v>
      </c>
      <c r="P99" s="24">
        <f t="shared" si="74"/>
        <v>1721</v>
      </c>
      <c r="Q99" s="26">
        <f t="shared" si="75"/>
        <v>1.26</v>
      </c>
      <c r="R99" s="26">
        <f t="shared" si="76"/>
        <v>1.21</v>
      </c>
      <c r="S99" s="26">
        <f t="shared" si="77"/>
        <v>0.95</v>
      </c>
      <c r="T99" s="26">
        <f t="shared" si="78"/>
        <v>0.96299999999999997</v>
      </c>
      <c r="U99" s="26">
        <f t="shared" si="79"/>
        <v>0.96299999999999997</v>
      </c>
      <c r="V99" s="25">
        <f t="shared" si="68"/>
        <v>0.70385088390419592</v>
      </c>
      <c r="W99" s="25">
        <f t="shared" si="69"/>
        <v>10014.552092707201</v>
      </c>
      <c r="X99" s="52">
        <f t="shared" si="80"/>
        <v>1675.3117392927998</v>
      </c>
      <c r="Y99" s="25">
        <f t="shared" si="81"/>
        <v>0.1580830902754691</v>
      </c>
      <c r="Z99" s="25">
        <f t="shared" si="70"/>
        <v>2.4002973082315378</v>
      </c>
      <c r="AA99" s="25">
        <f t="shared" si="82"/>
        <v>0.82904154513773454</v>
      </c>
      <c r="AB99" s="24">
        <f t="shared" si="83"/>
        <v>1</v>
      </c>
      <c r="AC99" s="24">
        <f t="shared" si="84"/>
        <v>1</v>
      </c>
    </row>
    <row r="100" spans="1:29">
      <c r="A100" s="30" t="s">
        <v>145</v>
      </c>
      <c r="B100" s="34">
        <v>122</v>
      </c>
      <c r="C100">
        <v>4.54</v>
      </c>
      <c r="D100">
        <v>576</v>
      </c>
      <c r="E100" s="34">
        <v>40.5</v>
      </c>
      <c r="F100">
        <f t="shared" si="85"/>
        <v>366</v>
      </c>
      <c r="G100" s="59">
        <f t="shared" si="65"/>
        <v>26.872246696035241</v>
      </c>
      <c r="H100" s="58">
        <f t="shared" si="66"/>
        <v>0.73183991001968318</v>
      </c>
      <c r="I100" s="23">
        <f t="shared" si="67"/>
        <v>0.158</v>
      </c>
      <c r="J100">
        <v>1663</v>
      </c>
      <c r="K100" s="24">
        <f t="shared" si="50"/>
        <v>1310</v>
      </c>
      <c r="L100" s="40">
        <f t="shared" si="86"/>
        <v>3</v>
      </c>
      <c r="M100" s="24">
        <f t="shared" si="72"/>
        <v>1371</v>
      </c>
      <c r="N100" s="24">
        <f t="shared" si="73"/>
        <v>1736</v>
      </c>
      <c r="O100" s="24">
        <f t="shared" si="71"/>
        <v>1721</v>
      </c>
      <c r="P100" s="24">
        <f t="shared" si="74"/>
        <v>1721</v>
      </c>
      <c r="Q100" s="26">
        <f t="shared" si="75"/>
        <v>1.27</v>
      </c>
      <c r="R100" s="26">
        <f t="shared" si="76"/>
        <v>1.21</v>
      </c>
      <c r="S100" s="26">
        <f t="shared" si="77"/>
        <v>0.96</v>
      </c>
      <c r="T100" s="26">
        <f t="shared" si="78"/>
        <v>0.96599999999999997</v>
      </c>
      <c r="U100" s="26">
        <f t="shared" si="79"/>
        <v>0.96599999999999997</v>
      </c>
      <c r="V100" s="25">
        <f t="shared" si="68"/>
        <v>0.70385088390419592</v>
      </c>
      <c r="W100" s="25">
        <f t="shared" si="69"/>
        <v>10014.552092707201</v>
      </c>
      <c r="X100" s="52">
        <f t="shared" si="80"/>
        <v>1675.3117392927998</v>
      </c>
      <c r="Y100" s="25">
        <f t="shared" si="81"/>
        <v>0.1580830902754691</v>
      </c>
      <c r="Z100" s="25">
        <f t="shared" si="70"/>
        <v>2.4002973082315378</v>
      </c>
      <c r="AA100" s="25">
        <f t="shared" si="82"/>
        <v>0.82904154513773454</v>
      </c>
      <c r="AB100" s="24">
        <f t="shared" si="83"/>
        <v>1</v>
      </c>
      <c r="AC100" s="24">
        <f t="shared" si="84"/>
        <v>1</v>
      </c>
    </row>
    <row r="101" spans="1:29">
      <c r="A101" s="30" t="s">
        <v>146</v>
      </c>
      <c r="B101" s="34">
        <v>122</v>
      </c>
      <c r="C101">
        <v>4.54</v>
      </c>
      <c r="D101">
        <v>576</v>
      </c>
      <c r="E101" s="34">
        <v>77</v>
      </c>
      <c r="F101">
        <f t="shared" si="85"/>
        <v>366</v>
      </c>
      <c r="G101" s="59">
        <f t="shared" si="65"/>
        <v>26.872246696035241</v>
      </c>
      <c r="H101" s="58">
        <f t="shared" si="66"/>
        <v>0.73183991001968318</v>
      </c>
      <c r="I101" s="23">
        <f t="shared" si="67"/>
        <v>0.17399999999999999</v>
      </c>
      <c r="J101">
        <v>2100</v>
      </c>
      <c r="K101" s="24">
        <f t="shared" si="50"/>
        <v>1620</v>
      </c>
      <c r="L101" s="40">
        <f t="shared" si="86"/>
        <v>3</v>
      </c>
      <c r="M101" s="24">
        <f t="shared" si="72"/>
        <v>1736</v>
      </c>
      <c r="N101" s="24">
        <f t="shared" si="73"/>
        <v>2047</v>
      </c>
      <c r="O101" s="24">
        <f t="shared" si="71"/>
        <v>2050</v>
      </c>
      <c r="P101" s="24">
        <f t="shared" si="74"/>
        <v>2050</v>
      </c>
      <c r="Q101" s="26">
        <f t="shared" si="75"/>
        <v>1.3</v>
      </c>
      <c r="R101" s="26">
        <f t="shared" si="76"/>
        <v>1.21</v>
      </c>
      <c r="S101" s="26">
        <f t="shared" si="77"/>
        <v>1.03</v>
      </c>
      <c r="T101" s="26">
        <f t="shared" si="78"/>
        <v>1.024</v>
      </c>
      <c r="U101" s="26">
        <f t="shared" si="79"/>
        <v>1.024</v>
      </c>
      <c r="V101" s="25">
        <f t="shared" si="68"/>
        <v>0.55586380289899351</v>
      </c>
      <c r="W101" s="25">
        <f t="shared" si="69"/>
        <v>10014.552092707201</v>
      </c>
      <c r="X101" s="52">
        <f t="shared" si="80"/>
        <v>1675.3117392927998</v>
      </c>
      <c r="Y101" s="25">
        <f t="shared" si="81"/>
        <v>0.17394542939318372</v>
      </c>
      <c r="Z101" s="25">
        <f t="shared" si="70"/>
        <v>2.1963787671413457</v>
      </c>
      <c r="AA101" s="25">
        <f t="shared" si="82"/>
        <v>0.83697271469659185</v>
      </c>
      <c r="AB101" s="24">
        <f t="shared" si="83"/>
        <v>1</v>
      </c>
      <c r="AC101" s="24">
        <f t="shared" si="84"/>
        <v>1</v>
      </c>
    </row>
    <row r="102" spans="1:29">
      <c r="A102" s="30" t="s">
        <v>69</v>
      </c>
      <c r="B102" s="34">
        <v>239</v>
      </c>
      <c r="C102">
        <v>4.54</v>
      </c>
      <c r="D102">
        <v>507</v>
      </c>
      <c r="E102" s="34">
        <v>25.4</v>
      </c>
      <c r="F102">
        <f t="shared" si="85"/>
        <v>717</v>
      </c>
      <c r="G102" s="59">
        <f t="shared" si="65"/>
        <v>52.643171806167402</v>
      </c>
      <c r="H102" s="58">
        <f t="shared" si="66"/>
        <v>1.2619427000343675</v>
      </c>
      <c r="I102" s="23">
        <f t="shared" si="67"/>
        <v>0.14199999999999999</v>
      </c>
      <c r="J102">
        <v>3035</v>
      </c>
      <c r="K102" s="24">
        <f t="shared" si="50"/>
        <v>2592</v>
      </c>
      <c r="L102" s="40">
        <f t="shared" si="86"/>
        <v>3</v>
      </c>
      <c r="M102" s="24">
        <f t="shared" si="72"/>
        <v>2750</v>
      </c>
      <c r="N102" s="24">
        <f t="shared" si="73"/>
        <v>3390</v>
      </c>
      <c r="O102" s="24">
        <f t="shared" si="71"/>
        <v>3493</v>
      </c>
      <c r="P102" s="24">
        <f t="shared" si="74"/>
        <v>3493</v>
      </c>
      <c r="Q102" s="26">
        <f t="shared" si="75"/>
        <v>1.17</v>
      </c>
      <c r="R102" s="26">
        <f t="shared" si="76"/>
        <v>1.1000000000000001</v>
      </c>
      <c r="S102" s="26">
        <f t="shared" si="77"/>
        <v>0.9</v>
      </c>
      <c r="T102" s="26">
        <f t="shared" si="78"/>
        <v>0.86899999999999999</v>
      </c>
      <c r="U102" s="26">
        <f t="shared" si="79"/>
        <v>0.86899999999999999</v>
      </c>
      <c r="V102" s="25">
        <f t="shared" si="68"/>
        <v>0.61652353708049878</v>
      </c>
      <c r="W102" s="25">
        <f t="shared" si="69"/>
        <v>41518.656580147195</v>
      </c>
      <c r="X102" s="52">
        <f t="shared" si="80"/>
        <v>3344.0625778528038</v>
      </c>
      <c r="Y102" s="25">
        <f t="shared" si="81"/>
        <v>0.14188419225337059</v>
      </c>
      <c r="Z102" s="25">
        <f t="shared" si="70"/>
        <v>2.6173715515062983</v>
      </c>
      <c r="AA102" s="25">
        <f t="shared" si="82"/>
        <v>0.82094209612668534</v>
      </c>
      <c r="AB102" s="24">
        <f t="shared" si="83"/>
        <v>1</v>
      </c>
      <c r="AC102" s="24">
        <f t="shared" si="84"/>
        <v>1</v>
      </c>
    </row>
    <row r="103" spans="1:29">
      <c r="A103" s="30" t="s">
        <v>147</v>
      </c>
      <c r="B103" s="34">
        <v>238</v>
      </c>
      <c r="C103">
        <v>4.54</v>
      </c>
      <c r="D103">
        <v>507</v>
      </c>
      <c r="E103" s="34">
        <v>40.5</v>
      </c>
      <c r="F103">
        <f t="shared" si="85"/>
        <v>714</v>
      </c>
      <c r="G103" s="59">
        <f t="shared" si="65"/>
        <v>52.42290748898678</v>
      </c>
      <c r="H103" s="58">
        <f t="shared" si="66"/>
        <v>1.2566626050551439</v>
      </c>
      <c r="I103" s="23">
        <f t="shared" si="67"/>
        <v>0.154</v>
      </c>
      <c r="J103">
        <v>3583</v>
      </c>
      <c r="K103" s="24">
        <f t="shared" si="50"/>
        <v>3105</v>
      </c>
      <c r="L103" s="40">
        <f t="shared" si="86"/>
        <v>3</v>
      </c>
      <c r="M103" s="24">
        <f t="shared" si="72"/>
        <v>3355</v>
      </c>
      <c r="N103" s="24">
        <f t="shared" si="73"/>
        <v>3900</v>
      </c>
      <c r="O103" s="24">
        <f t="shared" si="71"/>
        <v>4042</v>
      </c>
      <c r="P103" s="24">
        <f t="shared" si="74"/>
        <v>4042</v>
      </c>
      <c r="Q103" s="26">
        <f t="shared" si="75"/>
        <v>1.1499999999999999</v>
      </c>
      <c r="R103" s="26">
        <f t="shared" si="76"/>
        <v>1.07</v>
      </c>
      <c r="S103" s="26">
        <f t="shared" si="77"/>
        <v>0.92</v>
      </c>
      <c r="T103" s="26">
        <f t="shared" si="78"/>
        <v>0.88600000000000001</v>
      </c>
      <c r="U103" s="26">
        <f t="shared" si="79"/>
        <v>0.88600000000000001</v>
      </c>
      <c r="V103" s="25">
        <f t="shared" si="68"/>
        <v>0.50319179533162828</v>
      </c>
      <c r="W103" s="25">
        <f t="shared" si="69"/>
        <v>41158.284561827197</v>
      </c>
      <c r="X103" s="52">
        <f t="shared" si="80"/>
        <v>3329.7997501728069</v>
      </c>
      <c r="Y103" s="25">
        <f t="shared" si="81"/>
        <v>0.15364454820467419</v>
      </c>
      <c r="Z103" s="25">
        <f t="shared" si="70"/>
        <v>2.4588888604948416</v>
      </c>
      <c r="AA103" s="25">
        <f t="shared" si="82"/>
        <v>0.82682227410233711</v>
      </c>
      <c r="AB103" s="24">
        <f t="shared" si="83"/>
        <v>1</v>
      </c>
      <c r="AC103" s="24">
        <f t="shared" si="84"/>
        <v>1</v>
      </c>
    </row>
    <row r="104" spans="1:29">
      <c r="A104" s="30" t="s">
        <v>70</v>
      </c>
      <c r="B104" s="34">
        <v>238</v>
      </c>
      <c r="C104">
        <v>4.54</v>
      </c>
      <c r="D104">
        <v>507</v>
      </c>
      <c r="E104" s="34">
        <v>40.5</v>
      </c>
      <c r="F104">
        <f t="shared" si="85"/>
        <v>714</v>
      </c>
      <c r="G104" s="59">
        <f t="shared" si="65"/>
        <v>52.42290748898678</v>
      </c>
      <c r="H104" s="58">
        <f t="shared" si="66"/>
        <v>1.2566626050551439</v>
      </c>
      <c r="I104" s="23">
        <f t="shared" si="67"/>
        <v>0.154</v>
      </c>
      <c r="J104">
        <v>3647</v>
      </c>
      <c r="K104" s="24">
        <f t="shared" si="50"/>
        <v>3105</v>
      </c>
      <c r="L104" s="40">
        <f t="shared" si="86"/>
        <v>3</v>
      </c>
      <c r="M104" s="24">
        <f t="shared" si="72"/>
        <v>3355</v>
      </c>
      <c r="N104" s="24">
        <f t="shared" si="73"/>
        <v>3900</v>
      </c>
      <c r="O104" s="24">
        <f t="shared" si="71"/>
        <v>4042</v>
      </c>
      <c r="P104" s="24">
        <f t="shared" si="74"/>
        <v>4042</v>
      </c>
      <c r="Q104" s="26">
        <f t="shared" si="75"/>
        <v>1.17</v>
      </c>
      <c r="R104" s="26">
        <f t="shared" si="76"/>
        <v>1.0900000000000001</v>
      </c>
      <c r="S104" s="26">
        <f t="shared" si="77"/>
        <v>0.94</v>
      </c>
      <c r="T104" s="26">
        <f t="shared" si="78"/>
        <v>0.90200000000000002</v>
      </c>
      <c r="U104" s="26">
        <f t="shared" si="79"/>
        <v>0.90200000000000002</v>
      </c>
      <c r="V104" s="25">
        <f t="shared" si="68"/>
        <v>0.50319179533162828</v>
      </c>
      <c r="W104" s="25">
        <f t="shared" si="69"/>
        <v>41158.284561827197</v>
      </c>
      <c r="X104" s="52">
        <f t="shared" si="80"/>
        <v>3329.7997501728069</v>
      </c>
      <c r="Y104" s="25">
        <f t="shared" si="81"/>
        <v>0.15364454820467419</v>
      </c>
      <c r="Z104" s="25">
        <f t="shared" si="70"/>
        <v>2.4588888604948416</v>
      </c>
      <c r="AA104" s="25">
        <f t="shared" si="82"/>
        <v>0.82682227410233711</v>
      </c>
      <c r="AB104" s="24">
        <f t="shared" si="83"/>
        <v>1</v>
      </c>
      <c r="AC104" s="24">
        <f t="shared" si="84"/>
        <v>1</v>
      </c>
    </row>
    <row r="105" spans="1:29">
      <c r="A105" s="30" t="s">
        <v>71</v>
      </c>
      <c r="B105" s="34">
        <v>238</v>
      </c>
      <c r="C105">
        <v>4.54</v>
      </c>
      <c r="D105">
        <v>507</v>
      </c>
      <c r="E105" s="34">
        <v>77</v>
      </c>
      <c r="F105">
        <f t="shared" si="85"/>
        <v>714</v>
      </c>
      <c r="G105" s="59">
        <f t="shared" si="65"/>
        <v>52.42290748898678</v>
      </c>
      <c r="H105" s="58">
        <f t="shared" si="66"/>
        <v>1.2566626050551439</v>
      </c>
      <c r="I105" s="23">
        <f t="shared" si="67"/>
        <v>0.17799999999999999</v>
      </c>
      <c r="J105">
        <v>5578</v>
      </c>
      <c r="K105" s="24">
        <f t="shared" si="50"/>
        <v>4382</v>
      </c>
      <c r="L105" s="40">
        <f t="shared" si="86"/>
        <v>3</v>
      </c>
      <c r="M105" s="24">
        <f t="shared" si="72"/>
        <v>4857</v>
      </c>
      <c r="N105" s="24">
        <f t="shared" si="73"/>
        <v>5177</v>
      </c>
      <c r="O105" s="24">
        <f t="shared" si="71"/>
        <v>5440</v>
      </c>
      <c r="P105" s="24">
        <f t="shared" si="74"/>
        <v>5440</v>
      </c>
      <c r="Q105" s="26">
        <f t="shared" si="75"/>
        <v>1.27</v>
      </c>
      <c r="R105" s="26">
        <f t="shared" si="76"/>
        <v>1.1499999999999999</v>
      </c>
      <c r="S105" s="26">
        <f t="shared" si="77"/>
        <v>1.08</v>
      </c>
      <c r="T105" s="26">
        <f t="shared" si="78"/>
        <v>1.0249999999999999</v>
      </c>
      <c r="U105" s="26">
        <f t="shared" si="79"/>
        <v>1.0249999999999999</v>
      </c>
      <c r="V105" s="25">
        <f t="shared" si="68"/>
        <v>0.34758255576232511</v>
      </c>
      <c r="W105" s="25">
        <f t="shared" si="69"/>
        <v>41158.284561827197</v>
      </c>
      <c r="X105" s="52">
        <f t="shared" si="80"/>
        <v>3329.7997501728069</v>
      </c>
      <c r="Y105" s="25">
        <f t="shared" si="81"/>
        <v>0.17800998867429801</v>
      </c>
      <c r="Z105" s="25">
        <f t="shared" si="70"/>
        <v>2.1455036626784905</v>
      </c>
      <c r="AA105" s="25">
        <f t="shared" si="82"/>
        <v>0.83900499433714903</v>
      </c>
      <c r="AB105" s="24">
        <f t="shared" si="83"/>
        <v>1</v>
      </c>
      <c r="AC105" s="24">
        <f t="shared" si="84"/>
        <v>1</v>
      </c>
    </row>
    <row r="106" spans="1:29">
      <c r="A106" s="30" t="s">
        <v>72</v>
      </c>
      <c r="B106" s="34">
        <v>361</v>
      </c>
      <c r="C106">
        <v>4.54</v>
      </c>
      <c r="D106">
        <v>525</v>
      </c>
      <c r="E106" s="34">
        <v>25.4</v>
      </c>
      <c r="F106">
        <f t="shared" si="85"/>
        <v>1083</v>
      </c>
      <c r="G106" s="59">
        <f t="shared" si="65"/>
        <v>79.51541850220265</v>
      </c>
      <c r="H106" s="58">
        <f t="shared" si="66"/>
        <v>1.9737869840972289</v>
      </c>
      <c r="I106" s="23">
        <f t="shared" si="67"/>
        <v>0.14299999999999999</v>
      </c>
      <c r="J106">
        <v>5633</v>
      </c>
      <c r="K106" s="24">
        <f t="shared" si="50"/>
        <v>4769</v>
      </c>
      <c r="L106" s="40">
        <f t="shared" si="86"/>
        <v>3</v>
      </c>
      <c r="M106" s="24">
        <f t="shared" si="72"/>
        <v>5140</v>
      </c>
      <c r="N106" s="24">
        <f t="shared" si="73"/>
        <v>6053</v>
      </c>
      <c r="O106" s="24">
        <f t="shared" si="71"/>
        <v>6336</v>
      </c>
      <c r="P106" s="24">
        <f t="shared" si="74"/>
        <v>6336</v>
      </c>
      <c r="Q106" s="26">
        <f t="shared" si="75"/>
        <v>1.18</v>
      </c>
      <c r="R106" s="26">
        <f t="shared" si="76"/>
        <v>1.1000000000000001</v>
      </c>
      <c r="S106" s="26">
        <f t="shared" si="77"/>
        <v>0.93</v>
      </c>
      <c r="T106" s="26">
        <f t="shared" si="78"/>
        <v>0.88900000000000001</v>
      </c>
      <c r="U106" s="26">
        <f t="shared" si="79"/>
        <v>0.88900000000000001</v>
      </c>
      <c r="V106" s="25">
        <f t="shared" si="68"/>
        <v>0.51929318410052872</v>
      </c>
      <c r="W106" s="25">
        <f t="shared" si="69"/>
        <v>97269.725203187205</v>
      </c>
      <c r="X106" s="52">
        <f t="shared" si="80"/>
        <v>5084.127554812796</v>
      </c>
      <c r="Y106" s="25">
        <f t="shared" si="81"/>
        <v>0.14275489034228911</v>
      </c>
      <c r="Z106" s="25">
        <f t="shared" si="70"/>
        <v>2.6054768268505146</v>
      </c>
      <c r="AA106" s="25">
        <f t="shared" si="82"/>
        <v>0.82137744517114453</v>
      </c>
      <c r="AB106" s="24">
        <f t="shared" si="83"/>
        <v>1</v>
      </c>
      <c r="AC106" s="24">
        <f t="shared" si="84"/>
        <v>1</v>
      </c>
    </row>
    <row r="107" spans="1:29">
      <c r="A107" s="30" t="s">
        <v>73</v>
      </c>
      <c r="B107" s="34">
        <v>361</v>
      </c>
      <c r="C107">
        <v>4.54</v>
      </c>
      <c r="D107">
        <v>525</v>
      </c>
      <c r="E107" s="34">
        <v>41.1</v>
      </c>
      <c r="F107">
        <f t="shared" si="85"/>
        <v>1083</v>
      </c>
      <c r="G107" s="59">
        <f t="shared" si="65"/>
        <v>79.51541850220265</v>
      </c>
      <c r="H107" s="58">
        <f t="shared" si="66"/>
        <v>1.9737869840972289</v>
      </c>
      <c r="I107" s="23">
        <f t="shared" si="67"/>
        <v>0.158</v>
      </c>
      <c r="J107">
        <v>7260</v>
      </c>
      <c r="K107" s="24">
        <f t="shared" si="50"/>
        <v>6067</v>
      </c>
      <c r="L107" s="40">
        <f t="shared" si="86"/>
        <v>3</v>
      </c>
      <c r="M107" s="24">
        <f t="shared" si="72"/>
        <v>6667</v>
      </c>
      <c r="N107" s="24">
        <f t="shared" si="73"/>
        <v>7351</v>
      </c>
      <c r="O107" s="24">
        <f t="shared" si="71"/>
        <v>7755</v>
      </c>
      <c r="P107" s="24">
        <f t="shared" si="74"/>
        <v>7755</v>
      </c>
      <c r="Q107" s="26">
        <f t="shared" si="75"/>
        <v>1.2</v>
      </c>
      <c r="R107" s="26">
        <f t="shared" si="76"/>
        <v>1.0900000000000001</v>
      </c>
      <c r="S107" s="26">
        <f t="shared" si="77"/>
        <v>0.99</v>
      </c>
      <c r="T107" s="26">
        <f t="shared" si="78"/>
        <v>0.93600000000000005</v>
      </c>
      <c r="U107" s="26">
        <f t="shared" si="79"/>
        <v>0.93600000000000005</v>
      </c>
      <c r="V107" s="25">
        <f t="shared" si="68"/>
        <v>0.40035502719014815</v>
      </c>
      <c r="W107" s="25">
        <f t="shared" si="69"/>
        <v>97269.725203187205</v>
      </c>
      <c r="X107" s="52">
        <f t="shared" si="80"/>
        <v>5084.127554812796</v>
      </c>
      <c r="Y107" s="25">
        <f t="shared" si="81"/>
        <v>0.15767722423223968</v>
      </c>
      <c r="Z107" s="25">
        <f t="shared" si="70"/>
        <v>2.4056271714104942</v>
      </c>
      <c r="AA107" s="25">
        <f t="shared" si="82"/>
        <v>0.82883861211611987</v>
      </c>
      <c r="AB107" s="24">
        <f t="shared" si="83"/>
        <v>1</v>
      </c>
      <c r="AC107" s="24">
        <f t="shared" si="84"/>
        <v>1</v>
      </c>
    </row>
    <row r="108" spans="1:29">
      <c r="A108" s="30" t="s">
        <v>148</v>
      </c>
      <c r="B108" s="34">
        <v>360</v>
      </c>
      <c r="C108">
        <v>4.54</v>
      </c>
      <c r="D108">
        <v>525</v>
      </c>
      <c r="E108" s="34">
        <v>41.1</v>
      </c>
      <c r="F108">
        <f t="shared" si="85"/>
        <v>1080</v>
      </c>
      <c r="G108" s="59">
        <f t="shared" si="65"/>
        <v>79.295154185022028</v>
      </c>
      <c r="H108" s="58">
        <f t="shared" si="66"/>
        <v>1.9683194301246603</v>
      </c>
      <c r="I108" s="23">
        <f t="shared" si="67"/>
        <v>0.158</v>
      </c>
      <c r="J108">
        <v>7045</v>
      </c>
      <c r="K108" s="24">
        <f t="shared" si="50"/>
        <v>6041</v>
      </c>
      <c r="L108" s="40">
        <f t="shared" si="86"/>
        <v>3</v>
      </c>
      <c r="M108" s="24">
        <f t="shared" si="72"/>
        <v>6637</v>
      </c>
      <c r="N108" s="24">
        <f t="shared" si="73"/>
        <v>7320</v>
      </c>
      <c r="O108" s="24">
        <f t="shared" si="71"/>
        <v>7722</v>
      </c>
      <c r="P108" s="24">
        <f t="shared" si="74"/>
        <v>7722</v>
      </c>
      <c r="Q108" s="26">
        <f t="shared" si="75"/>
        <v>1.17</v>
      </c>
      <c r="R108" s="26">
        <f t="shared" si="76"/>
        <v>1.06</v>
      </c>
      <c r="S108" s="26">
        <f t="shared" si="77"/>
        <v>0.96</v>
      </c>
      <c r="T108" s="26">
        <f t="shared" si="78"/>
        <v>0.91200000000000003</v>
      </c>
      <c r="U108" s="26">
        <f t="shared" si="79"/>
        <v>0.91200000000000003</v>
      </c>
      <c r="V108" s="25">
        <f t="shared" si="68"/>
        <v>0.40103645950651146</v>
      </c>
      <c r="W108" s="25">
        <f t="shared" si="69"/>
        <v>96717.716072867217</v>
      </c>
      <c r="X108" s="52">
        <f t="shared" si="80"/>
        <v>5069.8647271327927</v>
      </c>
      <c r="Y108" s="25">
        <f t="shared" si="81"/>
        <v>0.15766346873309883</v>
      </c>
      <c r="Z108" s="25">
        <f t="shared" si="70"/>
        <v>2.40580790777787</v>
      </c>
      <c r="AA108" s="25">
        <f t="shared" si="82"/>
        <v>0.82883173436654944</v>
      </c>
      <c r="AB108" s="24">
        <f t="shared" si="83"/>
        <v>1</v>
      </c>
      <c r="AC108" s="24">
        <f t="shared" si="84"/>
        <v>1</v>
      </c>
    </row>
    <row r="109" spans="1:29">
      <c r="A109" s="30" t="s">
        <v>74</v>
      </c>
      <c r="B109" s="34">
        <v>360</v>
      </c>
      <c r="C109">
        <v>4.54</v>
      </c>
      <c r="D109">
        <v>525</v>
      </c>
      <c r="E109" s="34">
        <v>85.1</v>
      </c>
      <c r="F109">
        <f t="shared" si="85"/>
        <v>1080</v>
      </c>
      <c r="G109" s="59">
        <f t="shared" si="65"/>
        <v>79.295154185022028</v>
      </c>
      <c r="H109" s="58">
        <f t="shared" si="66"/>
        <v>1.9683194301246603</v>
      </c>
      <c r="I109" s="23">
        <f t="shared" si="67"/>
        <v>0.191</v>
      </c>
      <c r="J109">
        <v>11505</v>
      </c>
      <c r="K109" s="24">
        <f t="shared" si="50"/>
        <v>9658</v>
      </c>
      <c r="L109" s="40">
        <f t="shared" si="86"/>
        <v>3</v>
      </c>
      <c r="M109" s="24">
        <f t="shared" si="72"/>
        <v>10892</v>
      </c>
      <c r="N109" s="24">
        <f t="shared" si="73"/>
        <v>10938</v>
      </c>
      <c r="O109" s="24">
        <f t="shared" si="71"/>
        <v>11753</v>
      </c>
      <c r="P109" s="24">
        <f t="shared" si="74"/>
        <v>11753</v>
      </c>
      <c r="Q109" s="26">
        <f t="shared" si="75"/>
        <v>1.19</v>
      </c>
      <c r="R109" s="26">
        <f t="shared" si="76"/>
        <v>1.06</v>
      </c>
      <c r="S109" s="26">
        <f t="shared" si="77"/>
        <v>1.05</v>
      </c>
      <c r="T109" s="26">
        <f t="shared" si="78"/>
        <v>0.97899999999999998</v>
      </c>
      <c r="U109" s="26">
        <f t="shared" si="79"/>
        <v>0.97899999999999998</v>
      </c>
      <c r="V109" s="25">
        <f t="shared" si="68"/>
        <v>0.24437008646205621</v>
      </c>
      <c r="W109" s="25">
        <f t="shared" si="69"/>
        <v>96717.716072867217</v>
      </c>
      <c r="X109" s="52">
        <f t="shared" si="80"/>
        <v>5069.8647271327927</v>
      </c>
      <c r="Y109" s="25">
        <f t="shared" si="81"/>
        <v>0.19110089568429869</v>
      </c>
      <c r="Z109" s="25">
        <f t="shared" si="70"/>
        <v>1.9854658194732751</v>
      </c>
      <c r="AA109" s="25">
        <f t="shared" si="82"/>
        <v>0.84555044784214939</v>
      </c>
      <c r="AB109" s="24">
        <f t="shared" si="83"/>
        <v>1</v>
      </c>
      <c r="AC109" s="24">
        <f t="shared" si="84"/>
        <v>1</v>
      </c>
    </row>
    <row r="110" spans="1:29">
      <c r="A110" s="30" t="s">
        <v>149</v>
      </c>
      <c r="B110" s="34">
        <v>108</v>
      </c>
      <c r="C110">
        <v>6.47</v>
      </c>
      <c r="D110">
        <v>853</v>
      </c>
      <c r="E110" s="34">
        <v>25.4</v>
      </c>
      <c r="F110">
        <f t="shared" si="85"/>
        <v>324</v>
      </c>
      <c r="G110" s="59">
        <f t="shared" si="65"/>
        <v>16.69242658423493</v>
      </c>
      <c r="H110" s="58">
        <f t="shared" si="66"/>
        <v>0.67322174356276099</v>
      </c>
      <c r="I110" s="23">
        <f t="shared" si="67"/>
        <v>0.184</v>
      </c>
      <c r="J110">
        <v>2275</v>
      </c>
      <c r="K110" s="24">
        <f t="shared" si="50"/>
        <v>1914</v>
      </c>
      <c r="L110" s="40">
        <f t="shared" si="86"/>
        <v>3</v>
      </c>
      <c r="M110" s="24">
        <f t="shared" si="72"/>
        <v>1941</v>
      </c>
      <c r="N110" s="24">
        <f t="shared" si="73"/>
        <v>2625</v>
      </c>
      <c r="O110" s="24">
        <f t="shared" si="71"/>
        <v>2413</v>
      </c>
      <c r="P110" s="24">
        <f t="shared" si="74"/>
        <v>2413</v>
      </c>
      <c r="Q110" s="26">
        <f t="shared" si="75"/>
        <v>1.19</v>
      </c>
      <c r="R110" s="26">
        <f t="shared" si="76"/>
        <v>1.17</v>
      </c>
      <c r="S110" s="26">
        <f t="shared" si="77"/>
        <v>0.87</v>
      </c>
      <c r="T110" s="26">
        <f t="shared" si="78"/>
        <v>0.94299999999999995</v>
      </c>
      <c r="U110" s="26">
        <f t="shared" si="79"/>
        <v>0.94299999999999995</v>
      </c>
      <c r="V110" s="25">
        <f t="shared" si="68"/>
        <v>0.90692619301093358</v>
      </c>
      <c r="W110" s="25">
        <f t="shared" si="69"/>
        <v>7097.1733146327997</v>
      </c>
      <c r="X110" s="52">
        <f t="shared" si="80"/>
        <v>2063.7089573672006</v>
      </c>
      <c r="Y110" s="25">
        <f t="shared" si="81"/>
        <v>0.1843353766698026</v>
      </c>
      <c r="Z110" s="25">
        <f t="shared" si="70"/>
        <v>2.0674475601726181</v>
      </c>
      <c r="AA110" s="25">
        <f t="shared" si="82"/>
        <v>0.8421676883349013</v>
      </c>
      <c r="AB110" s="24">
        <f t="shared" si="83"/>
        <v>1</v>
      </c>
      <c r="AC110" s="24">
        <f t="shared" si="84"/>
        <v>1</v>
      </c>
    </row>
    <row r="111" spans="1:29">
      <c r="A111" s="30" t="s">
        <v>150</v>
      </c>
      <c r="B111" s="34">
        <v>109</v>
      </c>
      <c r="C111">
        <v>6.47</v>
      </c>
      <c r="D111">
        <v>853</v>
      </c>
      <c r="E111" s="34">
        <v>40.5</v>
      </c>
      <c r="F111">
        <f t="shared" si="85"/>
        <v>327</v>
      </c>
      <c r="G111" s="59">
        <f t="shared" si="65"/>
        <v>16.846986089644513</v>
      </c>
      <c r="H111" s="58">
        <f t="shared" si="66"/>
        <v>0.6794552782253791</v>
      </c>
      <c r="I111" s="23">
        <f t="shared" si="67"/>
        <v>0.188</v>
      </c>
      <c r="J111">
        <v>2446</v>
      </c>
      <c r="K111" s="24">
        <f t="shared" si="50"/>
        <v>2027</v>
      </c>
      <c r="L111" s="40">
        <f t="shared" si="86"/>
        <v>3</v>
      </c>
      <c r="M111" s="24">
        <f t="shared" si="72"/>
        <v>2071</v>
      </c>
      <c r="N111" s="24">
        <f t="shared" si="73"/>
        <v>2748</v>
      </c>
      <c r="O111" s="24">
        <f t="shared" si="71"/>
        <v>2537</v>
      </c>
      <c r="P111" s="24">
        <f t="shared" si="74"/>
        <v>2537</v>
      </c>
      <c r="Q111" s="26">
        <f t="shared" si="75"/>
        <v>1.21</v>
      </c>
      <c r="R111" s="26">
        <f t="shared" si="76"/>
        <v>1.18</v>
      </c>
      <c r="S111" s="26">
        <f t="shared" si="77"/>
        <v>0.89</v>
      </c>
      <c r="T111" s="26">
        <f t="shared" si="78"/>
        <v>0.96399999999999997</v>
      </c>
      <c r="U111" s="26">
        <f t="shared" si="79"/>
        <v>0.96399999999999997</v>
      </c>
      <c r="V111" s="25">
        <f t="shared" si="68"/>
        <v>0.85836885762382487</v>
      </c>
      <c r="W111" s="25">
        <f t="shared" si="69"/>
        <v>7247.2785803928009</v>
      </c>
      <c r="X111" s="52">
        <f t="shared" si="80"/>
        <v>2084.0350576071996</v>
      </c>
      <c r="Y111" s="25">
        <f t="shared" si="81"/>
        <v>0.18771441107633077</v>
      </c>
      <c r="Z111" s="25">
        <f t="shared" si="70"/>
        <v>2.0263072972253537</v>
      </c>
      <c r="AA111" s="25">
        <f t="shared" si="82"/>
        <v>0.84385720553816534</v>
      </c>
      <c r="AB111" s="24">
        <f t="shared" si="83"/>
        <v>1</v>
      </c>
      <c r="AC111" s="24">
        <f t="shared" si="84"/>
        <v>1</v>
      </c>
    </row>
    <row r="112" spans="1:29">
      <c r="A112" s="30" t="s">
        <v>151</v>
      </c>
      <c r="B112" s="34">
        <v>108</v>
      </c>
      <c r="C112">
        <v>6.47</v>
      </c>
      <c r="D112">
        <v>853</v>
      </c>
      <c r="E112" s="34">
        <v>40.5</v>
      </c>
      <c r="F112">
        <f t="shared" si="85"/>
        <v>324</v>
      </c>
      <c r="G112" s="59">
        <f t="shared" si="65"/>
        <v>16.69242658423493</v>
      </c>
      <c r="H112" s="58">
        <f t="shared" si="66"/>
        <v>0.67322174356276099</v>
      </c>
      <c r="I112" s="23">
        <f t="shared" si="67"/>
        <v>0.188</v>
      </c>
      <c r="J112">
        <v>2402</v>
      </c>
      <c r="K112" s="24">
        <f t="shared" ref="K112:K121" si="87">ROUND((0.85*E112*W112+D112*X112)/1000,0)</f>
        <v>2005</v>
      </c>
      <c r="L112" s="40">
        <f t="shared" si="86"/>
        <v>3</v>
      </c>
      <c r="M112" s="24">
        <f t="shared" si="72"/>
        <v>2048</v>
      </c>
      <c r="N112" s="24">
        <f t="shared" si="73"/>
        <v>2717</v>
      </c>
      <c r="O112" s="24">
        <f t="shared" si="71"/>
        <v>2507</v>
      </c>
      <c r="P112" s="24">
        <f t="shared" si="74"/>
        <v>2507</v>
      </c>
      <c r="Q112" s="26">
        <f t="shared" si="75"/>
        <v>1.2</v>
      </c>
      <c r="R112" s="26">
        <f t="shared" si="76"/>
        <v>1.17</v>
      </c>
      <c r="S112" s="26">
        <f t="shared" si="77"/>
        <v>0.88</v>
      </c>
      <c r="T112" s="26">
        <f t="shared" si="78"/>
        <v>0.95799999999999996</v>
      </c>
      <c r="U112" s="26">
        <f t="shared" si="79"/>
        <v>0.95799999999999996</v>
      </c>
      <c r="V112" s="25">
        <f t="shared" si="68"/>
        <v>0.85954284210655374</v>
      </c>
      <c r="W112" s="25">
        <f t="shared" si="69"/>
        <v>7097.1733146327997</v>
      </c>
      <c r="X112" s="52">
        <f t="shared" si="80"/>
        <v>2063.7089573672006</v>
      </c>
      <c r="Y112" s="25">
        <f t="shared" si="81"/>
        <v>0.18784816573319404</v>
      </c>
      <c r="Z112" s="25">
        <f t="shared" si="70"/>
        <v>2.0246868012144446</v>
      </c>
      <c r="AA112" s="25">
        <f t="shared" si="82"/>
        <v>0.84392408286659704</v>
      </c>
      <c r="AB112" s="24">
        <f t="shared" si="83"/>
        <v>1</v>
      </c>
      <c r="AC112" s="24">
        <f t="shared" si="84"/>
        <v>1</v>
      </c>
    </row>
    <row r="113" spans="1:29">
      <c r="A113" s="30" t="s">
        <v>152</v>
      </c>
      <c r="B113" s="34">
        <v>108</v>
      </c>
      <c r="C113">
        <v>6.47</v>
      </c>
      <c r="D113">
        <v>853</v>
      </c>
      <c r="E113" s="34">
        <v>77</v>
      </c>
      <c r="F113">
        <f t="shared" si="85"/>
        <v>324</v>
      </c>
      <c r="G113" s="59">
        <f t="shared" si="65"/>
        <v>16.69242658423493</v>
      </c>
      <c r="H113" s="58">
        <f t="shared" si="66"/>
        <v>0.67322174356276099</v>
      </c>
      <c r="I113" s="23">
        <f t="shared" si="67"/>
        <v>0.19700000000000001</v>
      </c>
      <c r="J113">
        <v>2713</v>
      </c>
      <c r="K113" s="24">
        <f t="shared" si="87"/>
        <v>2225</v>
      </c>
      <c r="L113" s="40">
        <f t="shared" si="86"/>
        <v>3</v>
      </c>
      <c r="M113" s="24">
        <f t="shared" si="72"/>
        <v>2307</v>
      </c>
      <c r="N113" s="24">
        <f t="shared" si="73"/>
        <v>2937</v>
      </c>
      <c r="O113" s="24">
        <f t="shared" si="71"/>
        <v>2736</v>
      </c>
      <c r="P113" s="24">
        <f t="shared" si="74"/>
        <v>2736</v>
      </c>
      <c r="Q113" s="26">
        <f t="shared" si="75"/>
        <v>1.22</v>
      </c>
      <c r="R113" s="26">
        <f t="shared" si="76"/>
        <v>1.18</v>
      </c>
      <c r="S113" s="26">
        <f t="shared" si="77"/>
        <v>0.92</v>
      </c>
      <c r="T113" s="26">
        <f t="shared" si="78"/>
        <v>0.99199999999999999</v>
      </c>
      <c r="U113" s="26">
        <f t="shared" si="79"/>
        <v>0.99199999999999999</v>
      </c>
      <c r="V113" s="25">
        <f t="shared" si="68"/>
        <v>0.76304453430178676</v>
      </c>
      <c r="W113" s="25">
        <f t="shared" si="69"/>
        <v>7097.1733146327997</v>
      </c>
      <c r="X113" s="52">
        <f t="shared" si="80"/>
        <v>2063.7089573672006</v>
      </c>
      <c r="Y113" s="25">
        <f t="shared" si="81"/>
        <v>0.19666195251169574</v>
      </c>
      <c r="Z113" s="25">
        <f t="shared" si="70"/>
        <v>1.9192445791507411</v>
      </c>
      <c r="AA113" s="25">
        <f t="shared" si="82"/>
        <v>0.84833097625584786</v>
      </c>
      <c r="AB113" s="24">
        <f t="shared" si="83"/>
        <v>1</v>
      </c>
      <c r="AC113" s="24">
        <f t="shared" si="84"/>
        <v>1</v>
      </c>
    </row>
    <row r="114" spans="1:29">
      <c r="A114" s="30" t="s">
        <v>153</v>
      </c>
      <c r="B114" s="34">
        <v>222</v>
      </c>
      <c r="C114">
        <v>6.47</v>
      </c>
      <c r="D114">
        <v>843</v>
      </c>
      <c r="E114" s="34">
        <v>25.4</v>
      </c>
      <c r="F114">
        <f t="shared" si="85"/>
        <v>666</v>
      </c>
      <c r="G114" s="59">
        <f t="shared" si="65"/>
        <v>34.31221020092736</v>
      </c>
      <c r="H114" s="58">
        <f t="shared" si="66"/>
        <v>1.3676214278667502</v>
      </c>
      <c r="I114" s="23">
        <f t="shared" si="67"/>
        <v>0.17399999999999999</v>
      </c>
      <c r="J114">
        <v>4964</v>
      </c>
      <c r="K114" s="24">
        <f t="shared" si="87"/>
        <v>4434</v>
      </c>
      <c r="L114" s="40">
        <f t="shared" si="86"/>
        <v>3</v>
      </c>
      <c r="M114" s="24">
        <f t="shared" si="72"/>
        <v>4565</v>
      </c>
      <c r="N114" s="24">
        <f t="shared" si="73"/>
        <v>6114</v>
      </c>
      <c r="O114" s="24">
        <f t="shared" si="71"/>
        <v>5819</v>
      </c>
      <c r="P114" s="24">
        <f t="shared" si="74"/>
        <v>5819</v>
      </c>
      <c r="Q114" s="26">
        <f t="shared" si="75"/>
        <v>1.1200000000000001</v>
      </c>
      <c r="R114" s="26">
        <f t="shared" si="76"/>
        <v>1.0900000000000001</v>
      </c>
      <c r="S114" s="26">
        <f t="shared" si="77"/>
        <v>0.81</v>
      </c>
      <c r="T114" s="26">
        <f t="shared" si="78"/>
        <v>0.85299999999999998</v>
      </c>
      <c r="U114" s="26">
        <f t="shared" si="79"/>
        <v>0.85299999999999998</v>
      </c>
      <c r="V114" s="25">
        <f t="shared" si="68"/>
        <v>0.80900011748631573</v>
      </c>
      <c r="W114" s="25">
        <f t="shared" si="69"/>
        <v>34326.670647272804</v>
      </c>
      <c r="X114" s="52">
        <f t="shared" si="80"/>
        <v>4380.8843847272019</v>
      </c>
      <c r="Y114" s="25">
        <f t="shared" si="81"/>
        <v>0.17352445608815917</v>
      </c>
      <c r="Z114" s="25">
        <f t="shared" si="70"/>
        <v>2.2016800890008108</v>
      </c>
      <c r="AA114" s="25">
        <f t="shared" si="82"/>
        <v>0.83676222804407963</v>
      </c>
      <c r="AB114" s="24">
        <f t="shared" si="83"/>
        <v>1</v>
      </c>
      <c r="AC114" s="24">
        <f t="shared" si="84"/>
        <v>1</v>
      </c>
    </row>
    <row r="115" spans="1:29">
      <c r="A115" s="30" t="s">
        <v>154</v>
      </c>
      <c r="B115" s="34">
        <v>222</v>
      </c>
      <c r="C115">
        <v>6.47</v>
      </c>
      <c r="D115">
        <v>843</v>
      </c>
      <c r="E115" s="34">
        <v>40.5</v>
      </c>
      <c r="F115">
        <f t="shared" si="85"/>
        <v>666</v>
      </c>
      <c r="G115" s="59">
        <f t="shared" si="65"/>
        <v>34.31221020092736</v>
      </c>
      <c r="H115" s="58">
        <f t="shared" si="66"/>
        <v>1.3676214278667502</v>
      </c>
      <c r="I115" s="23">
        <f t="shared" si="67"/>
        <v>0.18</v>
      </c>
      <c r="J115">
        <v>5638</v>
      </c>
      <c r="K115" s="24">
        <f t="shared" si="87"/>
        <v>4875</v>
      </c>
      <c r="L115" s="40">
        <f t="shared" si="86"/>
        <v>3</v>
      </c>
      <c r="M115" s="24">
        <f t="shared" si="72"/>
        <v>5083</v>
      </c>
      <c r="N115" s="24">
        <f t="shared" si="73"/>
        <v>6555</v>
      </c>
      <c r="O115" s="24">
        <f t="shared" si="71"/>
        <v>6280</v>
      </c>
      <c r="P115" s="24">
        <f t="shared" si="74"/>
        <v>6280</v>
      </c>
      <c r="Q115" s="26">
        <f t="shared" si="75"/>
        <v>1.1599999999999999</v>
      </c>
      <c r="R115" s="26">
        <f t="shared" si="76"/>
        <v>1.1100000000000001</v>
      </c>
      <c r="S115" s="26">
        <f t="shared" si="77"/>
        <v>0.86</v>
      </c>
      <c r="T115" s="26">
        <f t="shared" si="78"/>
        <v>0.89800000000000002</v>
      </c>
      <c r="U115" s="26">
        <f t="shared" si="79"/>
        <v>0.89800000000000002</v>
      </c>
      <c r="V115" s="25">
        <f t="shared" si="68"/>
        <v>0.72655627313103122</v>
      </c>
      <c r="W115" s="25">
        <f t="shared" si="69"/>
        <v>34326.670647272804</v>
      </c>
      <c r="X115" s="52">
        <f t="shared" si="80"/>
        <v>4380.8843847272019</v>
      </c>
      <c r="Y115" s="25">
        <f t="shared" si="81"/>
        <v>0.18011774375219489</v>
      </c>
      <c r="Z115" s="25">
        <f t="shared" si="70"/>
        <v>2.1193425680288778</v>
      </c>
      <c r="AA115" s="25">
        <f t="shared" si="82"/>
        <v>0.8400588718760974</v>
      </c>
      <c r="AB115" s="24">
        <f t="shared" si="83"/>
        <v>1</v>
      </c>
      <c r="AC115" s="24">
        <f t="shared" si="84"/>
        <v>1</v>
      </c>
    </row>
    <row r="116" spans="1:29">
      <c r="A116" s="30" t="s">
        <v>155</v>
      </c>
      <c r="B116" s="34">
        <v>222</v>
      </c>
      <c r="C116">
        <v>6.47</v>
      </c>
      <c r="D116">
        <v>843</v>
      </c>
      <c r="E116" s="34">
        <v>40.5</v>
      </c>
      <c r="F116">
        <f t="shared" si="85"/>
        <v>666</v>
      </c>
      <c r="G116" s="59">
        <f t="shared" si="65"/>
        <v>34.31221020092736</v>
      </c>
      <c r="H116" s="58">
        <f t="shared" si="66"/>
        <v>1.3676214278667502</v>
      </c>
      <c r="I116" s="23">
        <f t="shared" si="67"/>
        <v>0.18</v>
      </c>
      <c r="J116">
        <v>5714</v>
      </c>
      <c r="K116" s="24">
        <f t="shared" si="87"/>
        <v>4875</v>
      </c>
      <c r="L116" s="40">
        <f t="shared" si="86"/>
        <v>3</v>
      </c>
      <c r="M116" s="24">
        <f t="shared" si="72"/>
        <v>5083</v>
      </c>
      <c r="N116" s="24">
        <f t="shared" si="73"/>
        <v>6555</v>
      </c>
      <c r="O116" s="24">
        <f t="shared" si="71"/>
        <v>6280</v>
      </c>
      <c r="P116" s="24">
        <f t="shared" si="74"/>
        <v>6280</v>
      </c>
      <c r="Q116" s="26">
        <f t="shared" si="75"/>
        <v>1.17</v>
      </c>
      <c r="R116" s="26">
        <f t="shared" si="76"/>
        <v>1.1200000000000001</v>
      </c>
      <c r="S116" s="26">
        <f t="shared" si="77"/>
        <v>0.87</v>
      </c>
      <c r="T116" s="26">
        <f t="shared" si="78"/>
        <v>0.91</v>
      </c>
      <c r="U116" s="26">
        <f t="shared" si="79"/>
        <v>0.91</v>
      </c>
      <c r="V116" s="25">
        <f t="shared" si="68"/>
        <v>0.72655627313103122</v>
      </c>
      <c r="W116" s="25">
        <f t="shared" si="69"/>
        <v>34326.670647272804</v>
      </c>
      <c r="X116" s="52">
        <f t="shared" si="80"/>
        <v>4380.8843847272019</v>
      </c>
      <c r="Y116" s="25">
        <f t="shared" si="81"/>
        <v>0.18011774375219489</v>
      </c>
      <c r="Z116" s="25">
        <f t="shared" si="70"/>
        <v>2.1193425680288778</v>
      </c>
      <c r="AA116" s="25">
        <f t="shared" si="82"/>
        <v>0.8400588718760974</v>
      </c>
      <c r="AB116" s="24">
        <f t="shared" si="83"/>
        <v>1</v>
      </c>
      <c r="AC116" s="24">
        <f t="shared" si="84"/>
        <v>1</v>
      </c>
    </row>
    <row r="117" spans="1:29">
      <c r="A117" s="30" t="s">
        <v>152</v>
      </c>
      <c r="B117" s="34">
        <v>222</v>
      </c>
      <c r="C117">
        <v>6.47</v>
      </c>
      <c r="D117">
        <v>843</v>
      </c>
      <c r="E117" s="34">
        <v>77</v>
      </c>
      <c r="F117">
        <f t="shared" si="85"/>
        <v>666</v>
      </c>
      <c r="G117" s="59">
        <f t="shared" si="65"/>
        <v>34.31221020092736</v>
      </c>
      <c r="H117" s="58">
        <f t="shared" si="66"/>
        <v>1.3676214278667502</v>
      </c>
      <c r="I117" s="23">
        <f t="shared" si="67"/>
        <v>0.19600000000000001</v>
      </c>
      <c r="J117">
        <v>7304</v>
      </c>
      <c r="K117" s="24">
        <f t="shared" si="87"/>
        <v>5940</v>
      </c>
      <c r="L117" s="40">
        <f t="shared" si="86"/>
        <v>3</v>
      </c>
      <c r="M117" s="24">
        <f t="shared" si="72"/>
        <v>6336</v>
      </c>
      <c r="N117" s="24">
        <f t="shared" si="73"/>
        <v>7620</v>
      </c>
      <c r="O117" s="24">
        <f t="shared" si="71"/>
        <v>7403</v>
      </c>
      <c r="P117" s="24">
        <f t="shared" si="74"/>
        <v>7403</v>
      </c>
      <c r="Q117" s="26">
        <f t="shared" si="75"/>
        <v>1.23</v>
      </c>
      <c r="R117" s="26">
        <f t="shared" si="76"/>
        <v>1.1499999999999999</v>
      </c>
      <c r="S117" s="26">
        <f t="shared" si="77"/>
        <v>0.96</v>
      </c>
      <c r="T117" s="26">
        <f t="shared" si="78"/>
        <v>0.98699999999999999</v>
      </c>
      <c r="U117" s="26">
        <f t="shared" si="79"/>
        <v>0.98699999999999999</v>
      </c>
      <c r="V117" s="25">
        <f t="shared" si="68"/>
        <v>0.58287334853614758</v>
      </c>
      <c r="W117" s="25">
        <f t="shared" si="69"/>
        <v>34326.670647272804</v>
      </c>
      <c r="X117" s="52">
        <f t="shared" si="80"/>
        <v>4380.8843847272019</v>
      </c>
      <c r="Y117" s="25">
        <f t="shared" si="81"/>
        <v>0.19560555472421176</v>
      </c>
      <c r="Z117" s="25">
        <f t="shared" si="70"/>
        <v>1.9317432992645149</v>
      </c>
      <c r="AA117" s="25">
        <f t="shared" si="82"/>
        <v>0.84780277736210585</v>
      </c>
      <c r="AB117" s="24">
        <f t="shared" si="83"/>
        <v>1</v>
      </c>
      <c r="AC117" s="24">
        <f t="shared" si="84"/>
        <v>1</v>
      </c>
    </row>
    <row r="118" spans="1:29">
      <c r="A118" s="30" t="s">
        <v>156</v>
      </c>
      <c r="B118" s="34">
        <v>337</v>
      </c>
      <c r="C118">
        <v>6.47</v>
      </c>
      <c r="D118">
        <v>823</v>
      </c>
      <c r="E118" s="34">
        <v>25.4</v>
      </c>
      <c r="F118">
        <f t="shared" si="85"/>
        <v>1011</v>
      </c>
      <c r="G118" s="59">
        <f t="shared" si="65"/>
        <v>52.086553323029371</v>
      </c>
      <c r="H118" s="58">
        <f t="shared" si="66"/>
        <v>2.0268195453831286</v>
      </c>
      <c r="I118" s="23">
        <f t="shared" si="67"/>
        <v>0.16700000000000001</v>
      </c>
      <c r="J118">
        <v>8475</v>
      </c>
      <c r="K118" s="24">
        <f t="shared" si="87"/>
        <v>7310</v>
      </c>
      <c r="L118" s="40">
        <f t="shared" si="86"/>
        <v>3</v>
      </c>
      <c r="M118" s="24">
        <f t="shared" si="72"/>
        <v>7624</v>
      </c>
      <c r="N118" s="24">
        <f t="shared" si="73"/>
        <v>9912</v>
      </c>
      <c r="O118" s="24">
        <f t="shared" si="71"/>
        <v>9680</v>
      </c>
      <c r="P118" s="24">
        <f t="shared" si="74"/>
        <v>9680</v>
      </c>
      <c r="Q118" s="26">
        <f t="shared" si="75"/>
        <v>1.1599999999999999</v>
      </c>
      <c r="R118" s="26">
        <f t="shared" si="76"/>
        <v>1.1100000000000001</v>
      </c>
      <c r="S118" s="26">
        <f t="shared" si="77"/>
        <v>0.86</v>
      </c>
      <c r="T118" s="26">
        <f t="shared" si="78"/>
        <v>0.876</v>
      </c>
      <c r="U118" s="26">
        <f t="shared" si="79"/>
        <v>0.876</v>
      </c>
      <c r="V118" s="25">
        <f t="shared" si="68"/>
        <v>0.7252402421098223</v>
      </c>
      <c r="W118" s="25">
        <f t="shared" si="69"/>
        <v>82478.479549672804</v>
      </c>
      <c r="X118" s="52">
        <f t="shared" si="80"/>
        <v>6718.3859123271995</v>
      </c>
      <c r="Y118" s="25">
        <f t="shared" si="81"/>
        <v>0.16705059920618529</v>
      </c>
      <c r="Z118" s="25">
        <f t="shared" si="70"/>
        <v>2.2839642605030468</v>
      </c>
      <c r="AA118" s="25">
        <f t="shared" si="82"/>
        <v>0.83352529960309263</v>
      </c>
      <c r="AB118" s="24">
        <f t="shared" si="83"/>
        <v>1</v>
      </c>
      <c r="AC118" s="24">
        <f t="shared" si="84"/>
        <v>1</v>
      </c>
    </row>
    <row r="119" spans="1:29">
      <c r="A119" s="30" t="s">
        <v>157</v>
      </c>
      <c r="B119" s="34">
        <v>337</v>
      </c>
      <c r="C119">
        <v>6.47</v>
      </c>
      <c r="D119">
        <v>823</v>
      </c>
      <c r="E119" s="34">
        <v>41.1</v>
      </c>
      <c r="F119">
        <f t="shared" si="85"/>
        <v>1011</v>
      </c>
      <c r="G119" s="59">
        <f t="shared" si="65"/>
        <v>52.086553323029371</v>
      </c>
      <c r="H119" s="58">
        <f t="shared" si="66"/>
        <v>2.0268195453831286</v>
      </c>
      <c r="I119" s="23">
        <f t="shared" si="67"/>
        <v>0.17599999999999999</v>
      </c>
      <c r="J119">
        <v>9668</v>
      </c>
      <c r="K119" s="24">
        <f t="shared" si="87"/>
        <v>8411</v>
      </c>
      <c r="L119" s="40">
        <f t="shared" si="86"/>
        <v>3</v>
      </c>
      <c r="M119" s="24">
        <f t="shared" si="72"/>
        <v>8919</v>
      </c>
      <c r="N119" s="24">
        <f t="shared" si="73"/>
        <v>11013</v>
      </c>
      <c r="O119" s="24">
        <f t="shared" si="71"/>
        <v>10846</v>
      </c>
      <c r="P119" s="24">
        <f t="shared" si="74"/>
        <v>10846</v>
      </c>
      <c r="Q119" s="26">
        <f t="shared" si="75"/>
        <v>1.1499999999999999</v>
      </c>
      <c r="R119" s="26">
        <f t="shared" si="76"/>
        <v>1.08</v>
      </c>
      <c r="S119" s="26">
        <f t="shared" si="77"/>
        <v>0.88</v>
      </c>
      <c r="T119" s="26">
        <f t="shared" si="78"/>
        <v>0.89100000000000001</v>
      </c>
      <c r="U119" s="26">
        <f t="shared" si="79"/>
        <v>0.89100000000000001</v>
      </c>
      <c r="V119" s="25">
        <f t="shared" si="68"/>
        <v>0.61993851394161736</v>
      </c>
      <c r="W119" s="25">
        <f t="shared" si="69"/>
        <v>82478.479549672804</v>
      </c>
      <c r="X119" s="52">
        <f t="shared" si="80"/>
        <v>6718.3859123271995</v>
      </c>
      <c r="Y119" s="25">
        <f t="shared" si="81"/>
        <v>0.17648456733756732</v>
      </c>
      <c r="Z119" s="25">
        <f t="shared" si="70"/>
        <v>2.1645311468965867</v>
      </c>
      <c r="AA119" s="25">
        <f t="shared" si="82"/>
        <v>0.83824228366878362</v>
      </c>
      <c r="AB119" s="24">
        <f t="shared" si="83"/>
        <v>1</v>
      </c>
      <c r="AC119" s="24">
        <f t="shared" si="84"/>
        <v>1</v>
      </c>
    </row>
    <row r="120" spans="1:29">
      <c r="A120" s="30" t="s">
        <v>158</v>
      </c>
      <c r="B120" s="34">
        <v>337</v>
      </c>
      <c r="C120">
        <v>6.47</v>
      </c>
      <c r="D120">
        <v>823</v>
      </c>
      <c r="E120" s="34">
        <v>41.1</v>
      </c>
      <c r="F120">
        <f t="shared" si="85"/>
        <v>1011</v>
      </c>
      <c r="G120" s="59">
        <f t="shared" si="65"/>
        <v>52.086553323029371</v>
      </c>
      <c r="H120" s="58">
        <f t="shared" si="66"/>
        <v>2.0268195453831286</v>
      </c>
      <c r="I120" s="23">
        <f t="shared" si="67"/>
        <v>0.17599999999999999</v>
      </c>
      <c r="J120">
        <v>9835</v>
      </c>
      <c r="K120" s="24">
        <f t="shared" si="87"/>
        <v>8411</v>
      </c>
      <c r="L120" s="40">
        <f t="shared" si="86"/>
        <v>3</v>
      </c>
      <c r="M120" s="24">
        <f t="shared" si="72"/>
        <v>8919</v>
      </c>
      <c r="N120" s="24">
        <f t="shared" si="73"/>
        <v>11013</v>
      </c>
      <c r="O120" s="24">
        <f t="shared" si="71"/>
        <v>10846</v>
      </c>
      <c r="P120" s="24">
        <f t="shared" si="74"/>
        <v>10846</v>
      </c>
      <c r="Q120" s="26">
        <f t="shared" si="75"/>
        <v>1.17</v>
      </c>
      <c r="R120" s="26">
        <f t="shared" si="76"/>
        <v>1.1000000000000001</v>
      </c>
      <c r="S120" s="26">
        <f t="shared" si="77"/>
        <v>0.89</v>
      </c>
      <c r="T120" s="26">
        <f t="shared" si="78"/>
        <v>0.90700000000000003</v>
      </c>
      <c r="U120" s="26">
        <f t="shared" si="79"/>
        <v>0.90700000000000003</v>
      </c>
      <c r="V120" s="25">
        <f t="shared" si="68"/>
        <v>0.61993851394161736</v>
      </c>
      <c r="W120" s="25">
        <f t="shared" si="69"/>
        <v>82478.479549672804</v>
      </c>
      <c r="X120" s="52">
        <f t="shared" si="80"/>
        <v>6718.3859123271995</v>
      </c>
      <c r="Y120" s="25">
        <f t="shared" si="81"/>
        <v>0.17648456733756732</v>
      </c>
      <c r="Z120" s="25">
        <f t="shared" si="70"/>
        <v>2.1645311468965867</v>
      </c>
      <c r="AA120" s="25">
        <f t="shared" si="82"/>
        <v>0.83824228366878362</v>
      </c>
      <c r="AB120" s="24">
        <f t="shared" si="83"/>
        <v>1</v>
      </c>
      <c r="AC120" s="24">
        <f t="shared" si="84"/>
        <v>1</v>
      </c>
    </row>
    <row r="121" spans="1:29">
      <c r="A121" s="30" t="s">
        <v>159</v>
      </c>
      <c r="B121" s="34">
        <v>337</v>
      </c>
      <c r="C121">
        <v>6.47</v>
      </c>
      <c r="D121">
        <v>823</v>
      </c>
      <c r="E121" s="34">
        <v>85.1</v>
      </c>
      <c r="F121">
        <f t="shared" si="85"/>
        <v>1011</v>
      </c>
      <c r="G121" s="59">
        <f t="shared" si="65"/>
        <v>52.086553323029371</v>
      </c>
      <c r="H121" s="58">
        <f t="shared" si="66"/>
        <v>2.0268195453831286</v>
      </c>
      <c r="I121" s="23">
        <f t="shared" si="67"/>
        <v>0.2</v>
      </c>
      <c r="J121">
        <v>13776</v>
      </c>
      <c r="K121" s="24">
        <f t="shared" si="87"/>
        <v>11495</v>
      </c>
      <c r="L121" s="40">
        <f t="shared" si="86"/>
        <v>3</v>
      </c>
      <c r="M121" s="24">
        <f t="shared" si="72"/>
        <v>12548</v>
      </c>
      <c r="N121" s="24">
        <f t="shared" si="73"/>
        <v>14098</v>
      </c>
      <c r="O121" s="24">
        <f t="shared" si="71"/>
        <v>14163</v>
      </c>
      <c r="P121" s="24">
        <f t="shared" si="74"/>
        <v>14132</v>
      </c>
      <c r="Q121" s="26">
        <f t="shared" si="75"/>
        <v>1.2</v>
      </c>
      <c r="R121" s="26">
        <f t="shared" si="76"/>
        <v>1.1000000000000001</v>
      </c>
      <c r="S121" s="26">
        <f t="shared" si="77"/>
        <v>0.98</v>
      </c>
      <c r="T121" s="26">
        <f t="shared" si="78"/>
        <v>0.97299999999999998</v>
      </c>
      <c r="U121" s="26">
        <f t="shared" si="79"/>
        <v>0.97499999999999998</v>
      </c>
      <c r="V121" s="25">
        <f t="shared" si="68"/>
        <v>0.44064644611454301</v>
      </c>
      <c r="W121" s="25">
        <f t="shared" si="69"/>
        <v>82478.479549672804</v>
      </c>
      <c r="X121" s="52">
        <f t="shared" si="80"/>
        <v>6718.3859123271995</v>
      </c>
      <c r="Y121" s="25">
        <f t="shared" si="81"/>
        <v>0.20045127301486654</v>
      </c>
      <c r="Z121" s="25">
        <f t="shared" si="70"/>
        <v>1.874723567730739</v>
      </c>
      <c r="AA121" s="25">
        <f t="shared" si="82"/>
        <v>0.85022563650743321</v>
      </c>
      <c r="AB121" s="24">
        <f t="shared" si="83"/>
        <v>1.04230469865109</v>
      </c>
      <c r="AC121" s="24">
        <f t="shared" si="84"/>
        <v>0.99779218796023739</v>
      </c>
    </row>
    <row r="122" spans="1:29">
      <c r="H122" s="66" t="s">
        <v>160</v>
      </c>
      <c r="I122" s="66" t="s">
        <v>161</v>
      </c>
      <c r="L122" s="40"/>
      <c r="P122" s="66" t="s">
        <v>162</v>
      </c>
      <c r="Q122" s="62">
        <f>COUNT(Q7:Q121)</f>
        <v>107</v>
      </c>
      <c r="R122" s="62">
        <f>COUNT(R7:R121)</f>
        <v>107</v>
      </c>
      <c r="S122" s="62">
        <f>COUNT(S7:S121)</f>
        <v>107</v>
      </c>
      <c r="T122" s="62">
        <f>COUNT(T7:T121)</f>
        <v>107</v>
      </c>
      <c r="U122" s="62">
        <f>COUNT(U7:U121)</f>
        <v>107</v>
      </c>
      <c r="V122" s="61"/>
      <c r="W122" s="25">
        <f t="shared" si="69"/>
        <v>0</v>
      </c>
    </row>
    <row r="123" spans="1:29">
      <c r="G123" t="s">
        <v>163</v>
      </c>
      <c r="H123" s="60">
        <f>COUNTIF(H7:H121,"&gt;1")</f>
        <v>32</v>
      </c>
      <c r="I123" s="40">
        <f t="array" ref="I123">AVERAGE(IF(H7:H121 &gt; 1,U7:U121))</f>
        <v>0.90256250000000005</v>
      </c>
      <c r="L123" s="40"/>
      <c r="P123" s="66" t="s">
        <v>164</v>
      </c>
      <c r="Q123" s="61">
        <f>COUNTIF(Q7:Q121,"&lt;1")</f>
        <v>2</v>
      </c>
      <c r="R123" s="61">
        <f>COUNTIF(R7:R121,"&lt;1")</f>
        <v>9</v>
      </c>
      <c r="S123" s="61">
        <f>COUNTIF(S7:S121,"&lt;1")</f>
        <v>38</v>
      </c>
      <c r="T123" s="61">
        <f>COUNTIF(T7:T121,"&lt;1")</f>
        <v>49</v>
      </c>
      <c r="U123" s="61">
        <f>COUNTIF(U7:U121,"&lt;1")</f>
        <v>49</v>
      </c>
      <c r="V123" s="61">
        <f>COUNTIF(V7:V121,"&lt;0.2")</f>
        <v>4</v>
      </c>
      <c r="W123" s="25">
        <f t="shared" si="69"/>
        <v>0</v>
      </c>
      <c r="X123" s="40">
        <f t="array" ref="X123">AVERAGE(IF(V7:V121 &lt;0.2,IF(V7:V121 &gt;0.01,U7:U121)))</f>
        <v>0.84150000000000003</v>
      </c>
      <c r="Y123" t="s">
        <v>165</v>
      </c>
    </row>
    <row r="124" spans="1:29">
      <c r="G124" t="s">
        <v>166</v>
      </c>
      <c r="H124" s="60">
        <f>COUNTIF(H7:H121,"&lt;=1")</f>
        <v>75</v>
      </c>
      <c r="I124" s="40">
        <f t="array" ref="I124">AVERAGE(IF(H7:H121 &lt;1,IF(H7:H121&gt;0.01,U7:U121)))</f>
        <v>1.0585733333333329</v>
      </c>
      <c r="L124" s="40"/>
      <c r="P124" s="66" t="s">
        <v>167</v>
      </c>
      <c r="Q124" s="63">
        <f>Q123/Q122</f>
        <v>1.8691588785046728E-2</v>
      </c>
      <c r="R124" s="63">
        <f>R123/R122</f>
        <v>8.4112149532710276E-2</v>
      </c>
      <c r="S124" s="63">
        <f>S123/S122</f>
        <v>0.35514018691588783</v>
      </c>
      <c r="T124" s="63">
        <f>T123/T122</f>
        <v>0.45794392523364486</v>
      </c>
      <c r="U124" s="63">
        <f>U123/U122</f>
        <v>0.45794392523364486</v>
      </c>
      <c r="V124" s="49">
        <f>COUNTIF(V7:V121,"&gt;0.9")</f>
        <v>5</v>
      </c>
      <c r="W124" s="25">
        <f t="shared" si="69"/>
        <v>0</v>
      </c>
      <c r="X124" s="40">
        <f t="array" ref="X124">AVERAGE(IF(V7:V121 &gt;0.9,U7:U121))</f>
        <v>1.1103999999999998</v>
      </c>
      <c r="Y124" t="s">
        <v>165</v>
      </c>
    </row>
    <row r="125" spans="1:29">
      <c r="A125" s="67" t="s">
        <v>168</v>
      </c>
      <c r="B125" s="67">
        <v>2007</v>
      </c>
      <c r="C125" s="68" t="s">
        <v>169</v>
      </c>
      <c r="L125" s="65" t="s">
        <v>130</v>
      </c>
      <c r="W125" s="25" t="e">
        <f t="shared" si="69"/>
        <v>#VALUE!</v>
      </c>
    </row>
    <row r="126" spans="1:29">
      <c r="A126" t="s">
        <v>170</v>
      </c>
      <c r="B126">
        <v>133.05000000000001</v>
      </c>
      <c r="C126" s="40">
        <v>5</v>
      </c>
      <c r="D126">
        <v>351</v>
      </c>
      <c r="E126">
        <v>70.8</v>
      </c>
      <c r="F126">
        <v>399</v>
      </c>
      <c r="G126" s="59">
        <f>B126/C126</f>
        <v>26.610000000000003</v>
      </c>
      <c r="H126" s="58">
        <f>(G126/(21150/D126))</f>
        <v>0.44161276595744686</v>
      </c>
      <c r="I126" s="23">
        <f>ROUND(Y126,3)</f>
        <v>0.151</v>
      </c>
      <c r="J126">
        <v>1890</v>
      </c>
      <c r="K126" s="24">
        <f>ROUND((0.85*E126*W126+D126*X126)/1000,0)</f>
        <v>1422</v>
      </c>
      <c r="L126" s="40">
        <f t="shared" si="86"/>
        <v>2.9988726042841036</v>
      </c>
      <c r="M126" s="24">
        <f>ROUND((E126*W126+D126*X126)/1000,0)</f>
        <v>1548</v>
      </c>
      <c r="N126" s="24">
        <f>IF(E126&lt;1,M126,(ROUND((0.85*E126*W126+6*C126*D126*W126/(B126-2*C126))/1000,0)))</f>
        <v>1733</v>
      </c>
      <c r="O126" s="24">
        <f>IF(E126&lt;1,M126,(ROUND(((AA126*D126*X126)+(E126*W126*(1+Z126*(C126/B126)*(D126/E126))))/1000,0)))</f>
        <v>1817</v>
      </c>
      <c r="P126" s="24">
        <f>ROUND(AC126*O126,0)</f>
        <v>1817</v>
      </c>
      <c r="Q126" s="26">
        <f>ROUND((J126/K126),2)</f>
        <v>1.33</v>
      </c>
      <c r="R126" s="26">
        <f>ROUND((J126/M126),2)</f>
        <v>1.22</v>
      </c>
      <c r="S126" s="26">
        <f>ROUND((J126/N126),2)</f>
        <v>1.0900000000000001</v>
      </c>
      <c r="T126" s="26">
        <f>ROUND((J126/O126),3)</f>
        <v>1.04</v>
      </c>
      <c r="U126" s="26">
        <f>ROUND((J126/P126),3)</f>
        <v>1.04</v>
      </c>
      <c r="V126" s="25">
        <f>D126*X126/(1000*M126)</f>
        <v>0.45607422582558105</v>
      </c>
      <c r="W126" s="25">
        <f t="shared" si="69"/>
        <v>11891.948700895004</v>
      </c>
      <c r="X126" s="52">
        <f>0.785398*(B126*B126-(B126-2*C126)*(B126-2*C126))</f>
        <v>2011.4042779999986</v>
      </c>
      <c r="Y126" s="25">
        <f>SQRT((64*M126*F126*F126)/(PI()^3*((B126^4-(B126-2*C126)^4)*200+5.7*(E126+8)^0.33333*((B126-2*C126)^4-H126^4))))</f>
        <v>0.15061173451720394</v>
      </c>
      <c r="Z126" s="25">
        <f t="shared" ref="Z126:Z143" si="88">IF((4.9-18.5*Y126+17*Y126*Y126)&lt;0,0,(4.9-18.5*Y126+17*Y126*Y126))</f>
        <v>2.4993091191944994</v>
      </c>
      <c r="AA126" s="25">
        <f>IF((0.25*(3+2*Y126))&gt;1,1,(0.25*(3+2*Y126)))</f>
        <v>0.825305867258602</v>
      </c>
      <c r="AB126" s="24">
        <f>IF(Y126&lt;0.2,1,(1+0.158*SQRT(Y126*Y126-0.04)+Y126*Y126))</f>
        <v>1</v>
      </c>
      <c r="AC126" s="24">
        <f>IF(Y126&lt;0.2,1,(AB126-SQRT(AB126*AB126-4*Y126*Y126))/(2*Y126*Y126))</f>
        <v>1</v>
      </c>
    </row>
    <row r="127" spans="1:29">
      <c r="A127" t="s">
        <v>171</v>
      </c>
      <c r="B127">
        <v>138.5</v>
      </c>
      <c r="C127" s="40">
        <v>3.24</v>
      </c>
      <c r="D127">
        <v>331.7</v>
      </c>
      <c r="E127">
        <v>70.8</v>
      </c>
      <c r="F127">
        <v>417</v>
      </c>
      <c r="G127" s="59">
        <f>B127/C127</f>
        <v>42.746913580246911</v>
      </c>
      <c r="H127" s="58">
        <f>(G127/(21150/D127))</f>
        <v>0.67040904182354133</v>
      </c>
      <c r="I127" s="23">
        <f>ROUND(Y127,3)</f>
        <v>0.159</v>
      </c>
      <c r="J127">
        <v>1851</v>
      </c>
      <c r="K127" s="24">
        <f>ROUND((0.85*E127*W127+D127*X127)/1000,0)</f>
        <v>1280</v>
      </c>
      <c r="L127" s="40">
        <f>F127/B127</f>
        <v>3.0108303249097474</v>
      </c>
      <c r="M127" s="24">
        <f>ROUND((E127*W127+D127*X127)/1000,0)</f>
        <v>1426</v>
      </c>
      <c r="N127" s="24">
        <f>IF(E127&lt;1,M127,(ROUND((0.85*E127*W127+6*C127*D127*W127/(B127-2*C127))/1000,0)))</f>
        <v>1492</v>
      </c>
      <c r="O127" s="24">
        <f>IF(E127&lt;1,M127,(ROUND(((AA127*D127*X127)+(E127*W127*(1+Z127*(C127/B127)*(D127/E127))))/1000,0)))</f>
        <v>1602</v>
      </c>
      <c r="P127" s="24">
        <f>ROUND(AC127*O127,0)</f>
        <v>1602</v>
      </c>
      <c r="Q127" s="26">
        <f>ROUND((J127/K127),2)</f>
        <v>1.45</v>
      </c>
      <c r="R127" s="26">
        <f>ROUND((J127/M127),2)</f>
        <v>1.3</v>
      </c>
      <c r="S127" s="26">
        <f>ROUND((J127/N127),2)</f>
        <v>1.24</v>
      </c>
      <c r="T127" s="26">
        <f>ROUND((J127/O127),3)</f>
        <v>1.155</v>
      </c>
      <c r="U127" s="26">
        <f>ROUND((J127/P127),3)</f>
        <v>1.155</v>
      </c>
      <c r="V127" s="25">
        <f>D127*X127/(1000*M127)</f>
        <v>0.32025072503344637</v>
      </c>
      <c r="W127" s="25">
        <f t="shared" si="69"/>
        <v>13688.921967599203</v>
      </c>
      <c r="X127" s="52">
        <f>0.785398*(B127*B127-(B127-2*C127)*(B127-2*C127))</f>
        <v>1376.7788179007975</v>
      </c>
      <c r="Y127" s="25">
        <f>SQRT((64*M127*F127*F127)/(PI()^3*((B127^4-(B127-2*C127)^4)*200+5.7*(E127+8)^0.33333*((B127-2*C127)^4-H127^4))))</f>
        <v>0.1589461695465445</v>
      </c>
      <c r="Z127" s="25">
        <f>IF((4.9-18.5*Y127+17*Y127*Y127)&lt;0,0,(4.9-18.5*Y127+17*Y127*Y127))</f>
        <v>2.3889819052187478</v>
      </c>
      <c r="AA127" s="25">
        <f>IF((0.25*(3+2*Y127))&gt;1,1,(0.25*(3+2*Y127)))</f>
        <v>0.82947308477327231</v>
      </c>
      <c r="AB127" s="24">
        <f>IF(Y127&lt;0.2,1,(1+0.158*SQRT(Y127*Y127-0.04)+Y127*Y127))</f>
        <v>1</v>
      </c>
      <c r="AC127" s="24">
        <f>IF(Y127&lt;0.2,1,(AB127-SQRT(AB127*AB127-4*Y127*Y127))/(2*Y127*Y127))</f>
        <v>1</v>
      </c>
    </row>
    <row r="128" spans="1:29">
      <c r="A128" t="s">
        <v>172</v>
      </c>
      <c r="B128">
        <v>133.34</v>
      </c>
      <c r="C128" s="40">
        <v>5.01</v>
      </c>
      <c r="D128">
        <v>351</v>
      </c>
      <c r="E128">
        <v>70.8</v>
      </c>
      <c r="F128">
        <v>399</v>
      </c>
      <c r="G128" s="59">
        <f t="shared" ref="G128:G143" si="89">B128/C128</f>
        <v>26.614770459081839</v>
      </c>
      <c r="H128" s="58">
        <f t="shared" ref="H128:H143" si="90">(G128/(21150/D128))</f>
        <v>0.44169193527837947</v>
      </c>
      <c r="I128" s="23">
        <f t="shared" ref="I128:I143" si="91">ROUND(Y128,3)</f>
        <v>0.15</v>
      </c>
      <c r="J128">
        <v>2004</v>
      </c>
      <c r="K128" s="24">
        <f t="shared" ref="K128:K143" si="92">ROUND((0.85*E128*W128+D128*X128)/1000,0)</f>
        <v>1428</v>
      </c>
      <c r="L128" s="40">
        <f t="shared" si="86"/>
        <v>2.9923503824808759</v>
      </c>
      <c r="M128" s="24">
        <f t="shared" ref="M128:M143" si="93">ROUND((E128*W128+D128*X128)/1000,0)</f>
        <v>1555</v>
      </c>
      <c r="N128" s="24">
        <f t="shared" ref="N128:N143" si="94">IF(E128&lt;1,M128,(ROUND((0.85*E128*W128+6*C128*D128*W128/(B128-2*C128))/1000,0)))</f>
        <v>1741</v>
      </c>
      <c r="O128" s="24">
        <f t="shared" ref="O128:O143" si="95">IF(E128&lt;1,M128,(ROUND(((AA128*D128*X128)+(E128*W128*(1+Z128*(C128/B128)*(D128/E128))))/1000,0)))</f>
        <v>1825</v>
      </c>
      <c r="P128" s="24">
        <f t="shared" ref="P128:P143" si="96">ROUND(AC128*O128,0)</f>
        <v>1825</v>
      </c>
      <c r="Q128" s="26">
        <f t="shared" ref="Q128:Q143" si="97">ROUND((J128/K128),2)</f>
        <v>1.4</v>
      </c>
      <c r="R128" s="26">
        <f t="shared" ref="R128:R143" si="98">ROUND((J128/M128),2)</f>
        <v>1.29</v>
      </c>
      <c r="S128" s="26">
        <f t="shared" ref="S128:S143" si="99">ROUND((J128/N128),2)</f>
        <v>1.1499999999999999</v>
      </c>
      <c r="T128" s="26">
        <f t="shared" ref="T128:T143" si="100">ROUND((J128/O128),3)</f>
        <v>1.0980000000000001</v>
      </c>
      <c r="U128" s="26">
        <f t="shared" ref="U128:U143" si="101">ROUND((J128/P128),3)</f>
        <v>1.0980000000000001</v>
      </c>
      <c r="V128" s="25">
        <f t="shared" ref="V128:V143" si="102">D128*X128/(1000*M128)</f>
        <v>0.45592396993348766</v>
      </c>
      <c r="W128" s="25">
        <f t="shared" si="69"/>
        <v>11944.193297315202</v>
      </c>
      <c r="X128" s="52">
        <f t="shared" ref="X128:X143" si="103">0.785398*(B128*B128-(B128-2*C128)*(B128-2*C128))</f>
        <v>2019.8341118135991</v>
      </c>
      <c r="Y128" s="25">
        <f t="shared" ref="Y128:Y143" si="104">SQRT((64*M128*F128*F128)/(PI()^3*((B128^4-(B128-2*C128)^4)*200+5.7*(E128+8)^0.33333*((B128-2*C128)^4-H128^4))))</f>
        <v>0.15030384672429134</v>
      </c>
      <c r="Z128" s="25">
        <f t="shared" si="88"/>
        <v>2.5034300233826383</v>
      </c>
      <c r="AA128" s="25">
        <f t="shared" ref="AA128:AA143" si="105">IF((0.25*(3+2*Y128))&gt;1,1,(0.25*(3+2*Y128)))</f>
        <v>0.82515192336214571</v>
      </c>
      <c r="AB128" s="24">
        <f t="shared" ref="AB128:AB143" si="106">IF(Y128&lt;0.2,1,(1+0.158*SQRT(Y128*Y128-0.04)+Y128*Y128))</f>
        <v>1</v>
      </c>
      <c r="AC128" s="24">
        <f t="shared" ref="AC128:AC143" si="107">IF(Y128&lt;0.2,1,(AB128-SQRT(AB128*AB128-4*Y128*Y128))/(2*Y128*Y128))</f>
        <v>1</v>
      </c>
    </row>
    <row r="129" spans="1:29">
      <c r="A129" t="s">
        <v>173</v>
      </c>
      <c r="B129">
        <v>133.1</v>
      </c>
      <c r="C129" s="40">
        <v>5.05</v>
      </c>
      <c r="D129">
        <v>351</v>
      </c>
      <c r="E129">
        <v>70.8</v>
      </c>
      <c r="F129">
        <v>399</v>
      </c>
      <c r="G129" s="59">
        <f t="shared" si="89"/>
        <v>26.356435643564357</v>
      </c>
      <c r="H129" s="58">
        <f t="shared" si="90"/>
        <v>0.43740467663787658</v>
      </c>
      <c r="I129" s="23">
        <f t="shared" si="91"/>
        <v>0.15</v>
      </c>
      <c r="J129">
        <v>2514</v>
      </c>
      <c r="K129" s="24">
        <f t="shared" si="92"/>
        <v>1428</v>
      </c>
      <c r="L129" s="40">
        <f t="shared" si="86"/>
        <v>2.9977460555972955</v>
      </c>
      <c r="M129" s="24">
        <f t="shared" si="93"/>
        <v>1554</v>
      </c>
      <c r="N129" s="24">
        <f t="shared" si="94"/>
        <v>1742</v>
      </c>
      <c r="O129" s="24">
        <f t="shared" si="95"/>
        <v>1826</v>
      </c>
      <c r="P129" s="24">
        <f t="shared" si="96"/>
        <v>1826</v>
      </c>
      <c r="Q129" s="26">
        <f t="shared" si="97"/>
        <v>1.76</v>
      </c>
      <c r="R129" s="26">
        <f t="shared" si="98"/>
        <v>1.62</v>
      </c>
      <c r="S129" s="26">
        <f t="shared" si="99"/>
        <v>1.44</v>
      </c>
      <c r="T129" s="26">
        <f t="shared" si="100"/>
        <v>1.377</v>
      </c>
      <c r="U129" s="26">
        <f t="shared" si="101"/>
        <v>1.377</v>
      </c>
      <c r="V129" s="25">
        <f t="shared" si="102"/>
        <v>0.45885645469355163</v>
      </c>
      <c r="W129" s="25">
        <f t="shared" si="69"/>
        <v>11882.286342000001</v>
      </c>
      <c r="X129" s="52">
        <f t="shared" si="103"/>
        <v>2031.5183207799978</v>
      </c>
      <c r="Y129" s="25">
        <f t="shared" si="104"/>
        <v>0.15036903902998189</v>
      </c>
      <c r="Z129" s="25">
        <f t="shared" si="88"/>
        <v>2.502557192224939</v>
      </c>
      <c r="AA129" s="25">
        <f t="shared" si="105"/>
        <v>0.82518451951499094</v>
      </c>
      <c r="AB129" s="24">
        <f t="shared" si="106"/>
        <v>1</v>
      </c>
      <c r="AC129" s="24">
        <f t="shared" si="107"/>
        <v>1</v>
      </c>
    </row>
    <row r="130" spans="1:29">
      <c r="A130" t="s">
        <v>174</v>
      </c>
      <c r="B130">
        <v>139.30000000000001</v>
      </c>
      <c r="C130" s="40">
        <v>3.36</v>
      </c>
      <c r="D130">
        <v>331.7</v>
      </c>
      <c r="E130">
        <v>70.8</v>
      </c>
      <c r="F130">
        <v>417</v>
      </c>
      <c r="G130" s="59">
        <f t="shared" si="89"/>
        <v>41.458333333333336</v>
      </c>
      <c r="H130" s="58">
        <f t="shared" si="90"/>
        <v>0.65019996059889673</v>
      </c>
      <c r="I130" s="23">
        <f t="shared" si="91"/>
        <v>0.157</v>
      </c>
      <c r="J130">
        <v>1920</v>
      </c>
      <c r="K130" s="24">
        <f t="shared" si="92"/>
        <v>1307</v>
      </c>
      <c r="L130" s="40">
        <f t="shared" si="86"/>
        <v>2.9935391241923903</v>
      </c>
      <c r="M130" s="24">
        <f t="shared" si="93"/>
        <v>1453</v>
      </c>
      <c r="N130" s="24">
        <f t="shared" si="94"/>
        <v>1527</v>
      </c>
      <c r="O130" s="24">
        <f t="shared" si="95"/>
        <v>1638</v>
      </c>
      <c r="P130" s="24">
        <f t="shared" si="96"/>
        <v>1638</v>
      </c>
      <c r="Q130" s="26">
        <f t="shared" si="97"/>
        <v>1.47</v>
      </c>
      <c r="R130" s="26">
        <f t="shared" si="98"/>
        <v>1.32</v>
      </c>
      <c r="S130" s="26">
        <f t="shared" si="99"/>
        <v>1.26</v>
      </c>
      <c r="T130" s="26">
        <f t="shared" si="100"/>
        <v>1.1719999999999999</v>
      </c>
      <c r="U130" s="26">
        <f t="shared" si="101"/>
        <v>1.1719999999999999</v>
      </c>
      <c r="V130" s="25">
        <f t="shared" si="102"/>
        <v>0.32757909785489159</v>
      </c>
      <c r="W130" s="25">
        <f t="shared" si="69"/>
        <v>13805.299101647202</v>
      </c>
      <c r="X130" s="52">
        <f t="shared" si="103"/>
        <v>1434.9485353727991</v>
      </c>
      <c r="Y130" s="25">
        <f t="shared" si="104"/>
        <v>0.15735032627874526</v>
      </c>
      <c r="Z130" s="25">
        <f t="shared" si="88"/>
        <v>2.4099240919036822</v>
      </c>
      <c r="AA130" s="25">
        <f t="shared" si="105"/>
        <v>0.82867516313937262</v>
      </c>
      <c r="AB130" s="24">
        <f t="shared" si="106"/>
        <v>1</v>
      </c>
      <c r="AC130" s="24">
        <f t="shared" si="107"/>
        <v>1</v>
      </c>
    </row>
    <row r="131" spans="1:29">
      <c r="A131" t="s">
        <v>175</v>
      </c>
      <c r="B131">
        <v>138.25</v>
      </c>
      <c r="C131" s="40">
        <v>3.34</v>
      </c>
      <c r="D131">
        <v>331.7</v>
      </c>
      <c r="E131">
        <v>70.8</v>
      </c>
      <c r="F131">
        <v>417</v>
      </c>
      <c r="G131" s="59">
        <f t="shared" si="89"/>
        <v>41.392215568862277</v>
      </c>
      <c r="H131" s="58">
        <f t="shared" si="90"/>
        <v>0.64916302147478089</v>
      </c>
      <c r="I131" s="23">
        <f t="shared" si="91"/>
        <v>0.159</v>
      </c>
      <c r="J131">
        <v>2330</v>
      </c>
      <c r="K131" s="24">
        <f t="shared" si="92"/>
        <v>1288</v>
      </c>
      <c r="L131" s="40">
        <f t="shared" si="86"/>
        <v>3.0162748643761303</v>
      </c>
      <c r="M131" s="24">
        <f t="shared" si="93"/>
        <v>1432</v>
      </c>
      <c r="N131" s="24">
        <f t="shared" si="94"/>
        <v>1505</v>
      </c>
      <c r="O131" s="24">
        <f t="shared" si="95"/>
        <v>1613</v>
      </c>
      <c r="P131" s="24">
        <f t="shared" si="96"/>
        <v>1613</v>
      </c>
      <c r="Q131" s="26">
        <f t="shared" si="97"/>
        <v>1.81</v>
      </c>
      <c r="R131" s="26">
        <f t="shared" si="98"/>
        <v>1.63</v>
      </c>
      <c r="S131" s="26">
        <f t="shared" si="99"/>
        <v>1.55</v>
      </c>
      <c r="T131" s="26">
        <f t="shared" si="100"/>
        <v>1.4450000000000001</v>
      </c>
      <c r="U131" s="26">
        <f t="shared" si="101"/>
        <v>1.4450000000000001</v>
      </c>
      <c r="V131" s="25">
        <f t="shared" si="102"/>
        <v>0.32790107840796101</v>
      </c>
      <c r="W131" s="25">
        <f t="shared" si="69"/>
        <v>13595.7615911302</v>
      </c>
      <c r="X131" s="52">
        <f t="shared" si="103"/>
        <v>1415.5994702448002</v>
      </c>
      <c r="Y131" s="25">
        <f t="shared" si="104"/>
        <v>0.15852483149384203</v>
      </c>
      <c r="Z131" s="25">
        <f t="shared" si="88"/>
        <v>2.3945026947664898</v>
      </c>
      <c r="AA131" s="25">
        <f t="shared" si="105"/>
        <v>0.82926241574692106</v>
      </c>
      <c r="AB131" s="24">
        <f t="shared" si="106"/>
        <v>1</v>
      </c>
      <c r="AC131" s="24">
        <f t="shared" si="107"/>
        <v>1</v>
      </c>
    </row>
    <row r="132" spans="1:29">
      <c r="A132" t="s">
        <v>176</v>
      </c>
      <c r="B132">
        <v>133.25</v>
      </c>
      <c r="C132" s="40">
        <v>4.91</v>
      </c>
      <c r="D132">
        <v>351</v>
      </c>
      <c r="E132">
        <v>75.3</v>
      </c>
      <c r="F132">
        <v>400</v>
      </c>
      <c r="G132" s="59">
        <f t="shared" si="89"/>
        <v>27.138492871690428</v>
      </c>
      <c r="H132" s="58">
        <f t="shared" si="90"/>
        <v>0.45038349872167094</v>
      </c>
      <c r="I132" s="23">
        <f t="shared" si="91"/>
        <v>0.153</v>
      </c>
      <c r="J132">
        <v>2347</v>
      </c>
      <c r="K132" s="24">
        <f t="shared" si="92"/>
        <v>1461</v>
      </c>
      <c r="L132" s="40">
        <f t="shared" si="86"/>
        <v>3.0018761726078798</v>
      </c>
      <c r="M132" s="24">
        <f t="shared" si="93"/>
        <v>1596</v>
      </c>
      <c r="N132" s="24">
        <f t="shared" si="94"/>
        <v>1768</v>
      </c>
      <c r="O132" s="24">
        <f t="shared" si="95"/>
        <v>1857</v>
      </c>
      <c r="P132" s="24">
        <f t="shared" si="96"/>
        <v>1857</v>
      </c>
      <c r="Q132" s="26">
        <f t="shared" si="97"/>
        <v>1.61</v>
      </c>
      <c r="R132" s="26">
        <f t="shared" si="98"/>
        <v>1.47</v>
      </c>
      <c r="S132" s="26">
        <f t="shared" si="99"/>
        <v>1.33</v>
      </c>
      <c r="T132" s="26">
        <f t="shared" si="100"/>
        <v>1.264</v>
      </c>
      <c r="U132" s="26">
        <f t="shared" si="101"/>
        <v>1.264</v>
      </c>
      <c r="V132" s="25">
        <f t="shared" si="102"/>
        <v>0.43537906150346151</v>
      </c>
      <c r="W132" s="25">
        <f t="shared" si="69"/>
        <v>11965.510962530201</v>
      </c>
      <c r="X132" s="52">
        <f t="shared" si="103"/>
        <v>1979.6723138447994</v>
      </c>
      <c r="Y132" s="25">
        <f t="shared" si="104"/>
        <v>0.15336638401369967</v>
      </c>
      <c r="Z132" s="25">
        <f t="shared" si="88"/>
        <v>2.4625831074189954</v>
      </c>
      <c r="AA132" s="25">
        <f t="shared" si="105"/>
        <v>0.82668319200684981</v>
      </c>
      <c r="AB132" s="24">
        <f t="shared" si="106"/>
        <v>1</v>
      </c>
      <c r="AC132" s="24">
        <f t="shared" si="107"/>
        <v>1</v>
      </c>
    </row>
    <row r="133" spans="1:29">
      <c r="A133" t="s">
        <v>177</v>
      </c>
      <c r="B133">
        <v>133.21</v>
      </c>
      <c r="C133" s="40">
        <v>5.05</v>
      </c>
      <c r="D133">
        <v>351</v>
      </c>
      <c r="E133">
        <v>75.3</v>
      </c>
      <c r="F133">
        <v>400</v>
      </c>
      <c r="G133" s="59">
        <f t="shared" si="89"/>
        <v>26.378217821782179</v>
      </c>
      <c r="H133" s="58">
        <f t="shared" si="90"/>
        <v>0.43776616810617236</v>
      </c>
      <c r="I133" s="23">
        <f t="shared" si="91"/>
        <v>0.153</v>
      </c>
      <c r="J133">
        <v>2366</v>
      </c>
      <c r="K133" s="24">
        <f t="shared" si="92"/>
        <v>1476</v>
      </c>
      <c r="L133" s="40">
        <f t="shared" si="86"/>
        <v>3.0027775692515575</v>
      </c>
      <c r="M133" s="24">
        <f t="shared" si="93"/>
        <v>1610</v>
      </c>
      <c r="N133" s="24">
        <f t="shared" si="94"/>
        <v>1790</v>
      </c>
      <c r="O133" s="24">
        <f t="shared" si="95"/>
        <v>1877</v>
      </c>
      <c r="P133" s="24">
        <f t="shared" si="96"/>
        <v>1877</v>
      </c>
      <c r="Q133" s="26">
        <f t="shared" si="97"/>
        <v>1.6</v>
      </c>
      <c r="R133" s="26">
        <f t="shared" si="98"/>
        <v>1.47</v>
      </c>
      <c r="S133" s="26">
        <f t="shared" si="99"/>
        <v>1.32</v>
      </c>
      <c r="T133" s="26">
        <f t="shared" si="100"/>
        <v>1.2609999999999999</v>
      </c>
      <c r="U133" s="26">
        <f t="shared" si="101"/>
        <v>1.2609999999999999</v>
      </c>
      <c r="V133" s="25">
        <f t="shared" si="102"/>
        <v>0.44327669551101623</v>
      </c>
      <c r="W133" s="25">
        <f t="shared" si="69"/>
        <v>11903.548715195802</v>
      </c>
      <c r="X133" s="52">
        <f t="shared" si="103"/>
        <v>2033.2634751360004</v>
      </c>
      <c r="Y133" s="25">
        <f t="shared" si="104"/>
        <v>0.15286814520648881</v>
      </c>
      <c r="Z133" s="25">
        <f t="shared" si="88"/>
        <v>2.4692067006007843</v>
      </c>
      <c r="AA133" s="25">
        <f t="shared" si="105"/>
        <v>0.82643407260324442</v>
      </c>
      <c r="AB133" s="24">
        <f t="shared" si="106"/>
        <v>1</v>
      </c>
      <c r="AC133" s="24">
        <f t="shared" si="107"/>
        <v>1</v>
      </c>
    </row>
    <row r="134" spans="1:29">
      <c r="A134" t="s">
        <v>178</v>
      </c>
      <c r="B134">
        <v>133.41999999999999</v>
      </c>
      <c r="C134" s="40">
        <v>5.41</v>
      </c>
      <c r="D134">
        <v>351</v>
      </c>
      <c r="E134">
        <v>75.3</v>
      </c>
      <c r="F134">
        <v>400</v>
      </c>
      <c r="G134" s="59">
        <f t="shared" si="89"/>
        <v>24.661737523105359</v>
      </c>
      <c r="H134" s="58">
        <f t="shared" si="90"/>
        <v>0.40927989931962083</v>
      </c>
      <c r="I134" s="23">
        <f t="shared" si="91"/>
        <v>0.151</v>
      </c>
      <c r="J134">
        <v>2324</v>
      </c>
      <c r="K134" s="24">
        <f t="shared" si="92"/>
        <v>1519</v>
      </c>
      <c r="L134" s="40">
        <f t="shared" si="86"/>
        <v>2.9980512666766606</v>
      </c>
      <c r="M134" s="24">
        <f t="shared" si="93"/>
        <v>1653</v>
      </c>
      <c r="N134" s="24">
        <f t="shared" si="94"/>
        <v>1853</v>
      </c>
      <c r="O134" s="24">
        <f t="shared" si="95"/>
        <v>1938</v>
      </c>
      <c r="P134" s="24">
        <f t="shared" si="96"/>
        <v>1938</v>
      </c>
      <c r="Q134" s="26">
        <f t="shared" si="97"/>
        <v>1.53</v>
      </c>
      <c r="R134" s="26">
        <f t="shared" si="98"/>
        <v>1.41</v>
      </c>
      <c r="S134" s="26">
        <f t="shared" si="99"/>
        <v>1.25</v>
      </c>
      <c r="T134" s="26">
        <f t="shared" si="100"/>
        <v>1.1990000000000001</v>
      </c>
      <c r="U134" s="26">
        <f t="shared" si="101"/>
        <v>1.1990000000000001</v>
      </c>
      <c r="V134" s="25">
        <f t="shared" si="102"/>
        <v>0.46198216303013134</v>
      </c>
      <c r="W134" s="25">
        <f t="shared" si="69"/>
        <v>11805.128842479999</v>
      </c>
      <c r="X134" s="52">
        <f t="shared" si="103"/>
        <v>2175.6595882871998</v>
      </c>
      <c r="Y134" s="25">
        <f t="shared" si="104"/>
        <v>0.15140797902208233</v>
      </c>
      <c r="Z134" s="25">
        <f t="shared" si="88"/>
        <v>2.4886667819878499</v>
      </c>
      <c r="AA134" s="25">
        <f t="shared" si="105"/>
        <v>0.82570398951104118</v>
      </c>
      <c r="AB134" s="24">
        <f t="shared" si="106"/>
        <v>1</v>
      </c>
      <c r="AC134" s="24">
        <f t="shared" si="107"/>
        <v>1</v>
      </c>
    </row>
    <row r="135" spans="1:29">
      <c r="A135" t="s">
        <v>179</v>
      </c>
      <c r="B135">
        <v>133.22</v>
      </c>
      <c r="C135" s="40">
        <v>6.07</v>
      </c>
      <c r="D135">
        <v>392</v>
      </c>
      <c r="E135">
        <v>75.3</v>
      </c>
      <c r="F135">
        <v>400</v>
      </c>
      <c r="G135" s="59">
        <f t="shared" si="89"/>
        <v>21.947281713344314</v>
      </c>
      <c r="H135" s="58">
        <f t="shared" si="90"/>
        <v>0.40677704168467943</v>
      </c>
      <c r="I135" s="23">
        <f t="shared" si="91"/>
        <v>0.154</v>
      </c>
      <c r="J135">
        <v>2234</v>
      </c>
      <c r="K135" s="24">
        <f t="shared" si="92"/>
        <v>1687</v>
      </c>
      <c r="L135" s="40">
        <f t="shared" si="86"/>
        <v>3.0025521693439425</v>
      </c>
      <c r="M135" s="24">
        <f t="shared" si="93"/>
        <v>1817</v>
      </c>
      <c r="N135" s="24">
        <f t="shared" si="94"/>
        <v>2095</v>
      </c>
      <c r="O135" s="24">
        <f t="shared" si="95"/>
        <v>2158</v>
      </c>
      <c r="P135" s="24">
        <f>0.785398*(B7-2*C7)^2</f>
        <v>8868.0761586648005</v>
      </c>
      <c r="Q135" s="26">
        <f t="shared" si="97"/>
        <v>1.32</v>
      </c>
      <c r="R135" s="26">
        <f t="shared" si="98"/>
        <v>1.23</v>
      </c>
      <c r="S135" s="26">
        <f t="shared" si="99"/>
        <v>1.07</v>
      </c>
      <c r="T135" s="26">
        <f t="shared" si="100"/>
        <v>1.0349999999999999</v>
      </c>
      <c r="U135" s="26">
        <f t="shared" si="101"/>
        <v>0.252</v>
      </c>
      <c r="V135" s="25">
        <f t="shared" si="102"/>
        <v>0.52310151477558187</v>
      </c>
      <c r="W135" s="25">
        <f t="shared" si="69"/>
        <v>11514.222449827199</v>
      </c>
      <c r="X135" s="52">
        <f t="shared" si="103"/>
        <v>2424.6822763960008</v>
      </c>
      <c r="Y135" s="25">
        <f t="shared" si="104"/>
        <v>0.15382475864849882</v>
      </c>
      <c r="Z135" s="25">
        <f t="shared" si="88"/>
        <v>2.4564969233483436</v>
      </c>
      <c r="AA135" s="25">
        <f t="shared" si="105"/>
        <v>0.82691237932424944</v>
      </c>
      <c r="AB135" s="24">
        <f t="shared" si="106"/>
        <v>1</v>
      </c>
      <c r="AC135" s="24">
        <f t="shared" si="107"/>
        <v>1</v>
      </c>
    </row>
    <row r="136" spans="1:29">
      <c r="A136" t="s">
        <v>180</v>
      </c>
      <c r="B136">
        <v>133.29</v>
      </c>
      <c r="C136" s="40">
        <v>6.17</v>
      </c>
      <c r="D136">
        <v>392</v>
      </c>
      <c r="E136">
        <v>75.3</v>
      </c>
      <c r="F136">
        <v>400</v>
      </c>
      <c r="G136" s="59">
        <f t="shared" si="89"/>
        <v>21.60291734197731</v>
      </c>
      <c r="H136" s="58">
        <f t="shared" si="90"/>
        <v>0.40039449636194352</v>
      </c>
      <c r="I136" s="23">
        <f t="shared" si="91"/>
        <v>0.154</v>
      </c>
      <c r="J136">
        <v>2267</v>
      </c>
      <c r="K136" s="24">
        <f t="shared" si="92"/>
        <v>1701</v>
      </c>
      <c r="L136" s="40">
        <f t="shared" si="86"/>
        <v>3.000975316978018</v>
      </c>
      <c r="M136" s="24">
        <f t="shared" si="93"/>
        <v>1831</v>
      </c>
      <c r="N136" s="24">
        <f t="shared" si="94"/>
        <v>2114</v>
      </c>
      <c r="O136" s="24">
        <f t="shared" si="95"/>
        <v>2177</v>
      </c>
      <c r="P136" s="24">
        <f t="shared" si="96"/>
        <v>2177</v>
      </c>
      <c r="Q136" s="26">
        <f t="shared" si="97"/>
        <v>1.33</v>
      </c>
      <c r="R136" s="26">
        <f t="shared" si="98"/>
        <v>1.24</v>
      </c>
      <c r="S136" s="26">
        <f t="shared" si="99"/>
        <v>1.07</v>
      </c>
      <c r="T136" s="26">
        <f t="shared" si="100"/>
        <v>1.0409999999999999</v>
      </c>
      <c r="U136" s="26">
        <f t="shared" si="101"/>
        <v>1.0409999999999999</v>
      </c>
      <c r="V136" s="25">
        <f t="shared" si="102"/>
        <v>0.52752926003208445</v>
      </c>
      <c r="W136" s="25">
        <f t="shared" ref="W136:W143" si="108">0.785398*((B136-2*C136)^2)</f>
        <v>11489.510765694999</v>
      </c>
      <c r="X136" s="52">
        <f t="shared" si="103"/>
        <v>2464.0461099968024</v>
      </c>
      <c r="Y136" s="25">
        <f t="shared" si="104"/>
        <v>0.153529236198791</v>
      </c>
      <c r="Z136" s="25">
        <f t="shared" si="88"/>
        <v>2.4604199785746976</v>
      </c>
      <c r="AA136" s="25">
        <f t="shared" si="105"/>
        <v>0.8267646180993955</v>
      </c>
      <c r="AB136" s="24">
        <f t="shared" si="106"/>
        <v>1</v>
      </c>
      <c r="AC136" s="24">
        <f t="shared" si="107"/>
        <v>1</v>
      </c>
    </row>
    <row r="137" spans="1:29">
      <c r="A137" t="s">
        <v>181</v>
      </c>
      <c r="B137">
        <v>133.29</v>
      </c>
      <c r="C137" s="40">
        <v>6.11</v>
      </c>
      <c r="D137">
        <v>392</v>
      </c>
      <c r="E137">
        <v>75.3</v>
      </c>
      <c r="F137">
        <v>400</v>
      </c>
      <c r="G137" s="59">
        <f t="shared" si="89"/>
        <v>21.815057283142387</v>
      </c>
      <c r="H137" s="58">
        <f t="shared" si="90"/>
        <v>0.40432635721001492</v>
      </c>
      <c r="I137" s="23">
        <f t="shared" si="91"/>
        <v>0.154</v>
      </c>
      <c r="J137">
        <v>2275</v>
      </c>
      <c r="K137" s="24">
        <f t="shared" si="92"/>
        <v>1694</v>
      </c>
      <c r="L137" s="40">
        <f t="shared" si="86"/>
        <v>3.000975316978018</v>
      </c>
      <c r="M137" s="24">
        <f t="shared" si="93"/>
        <v>1824</v>
      </c>
      <c r="N137" s="24">
        <f t="shared" si="94"/>
        <v>2103</v>
      </c>
      <c r="O137" s="24">
        <f t="shared" si="95"/>
        <v>2167</v>
      </c>
      <c r="P137" s="24">
        <f t="shared" si="96"/>
        <v>2167</v>
      </c>
      <c r="Q137" s="26">
        <f t="shared" si="97"/>
        <v>1.34</v>
      </c>
      <c r="R137" s="26">
        <f t="shared" si="98"/>
        <v>1.25</v>
      </c>
      <c r="S137" s="26">
        <f t="shared" si="99"/>
        <v>1.08</v>
      </c>
      <c r="T137" s="26">
        <f t="shared" si="100"/>
        <v>1.05</v>
      </c>
      <c r="U137" s="26">
        <f t="shared" si="101"/>
        <v>1.05</v>
      </c>
      <c r="V137" s="25">
        <f t="shared" si="102"/>
        <v>0.52465165389894042</v>
      </c>
      <c r="W137" s="25">
        <f t="shared" si="108"/>
        <v>11512.320608570199</v>
      </c>
      <c r="X137" s="52">
        <f t="shared" si="103"/>
        <v>2441.2362671216006</v>
      </c>
      <c r="Y137" s="25">
        <f t="shared" si="104"/>
        <v>0.15368224283184628</v>
      </c>
      <c r="Z137" s="25">
        <f t="shared" si="88"/>
        <v>2.4583884475618958</v>
      </c>
      <c r="AA137" s="25">
        <f t="shared" si="105"/>
        <v>0.82684112141592314</v>
      </c>
      <c r="AB137" s="24">
        <f t="shared" si="106"/>
        <v>1</v>
      </c>
      <c r="AC137" s="24">
        <f t="shared" si="107"/>
        <v>1</v>
      </c>
    </row>
    <row r="138" spans="1:29">
      <c r="A138" t="s">
        <v>182</v>
      </c>
      <c r="B138">
        <v>139.4</v>
      </c>
      <c r="C138" s="40">
        <v>3.27</v>
      </c>
      <c r="D138">
        <v>331.7</v>
      </c>
      <c r="E138">
        <v>75.3</v>
      </c>
      <c r="F138">
        <v>418</v>
      </c>
      <c r="G138" s="59">
        <f t="shared" si="89"/>
        <v>42.629969418960243</v>
      </c>
      <c r="H138" s="58">
        <f t="shared" si="90"/>
        <v>0.66857498138388238</v>
      </c>
      <c r="I138" s="23">
        <f t="shared" si="91"/>
        <v>0.161</v>
      </c>
      <c r="J138">
        <v>2120</v>
      </c>
      <c r="K138" s="24">
        <f t="shared" si="92"/>
        <v>1351</v>
      </c>
      <c r="L138" s="40">
        <f t="shared" si="86"/>
        <v>2.9985652797704447</v>
      </c>
      <c r="M138" s="24">
        <f t="shared" si="93"/>
        <v>1508</v>
      </c>
      <c r="N138" s="24">
        <f t="shared" si="94"/>
        <v>1566</v>
      </c>
      <c r="O138" s="24">
        <f t="shared" si="95"/>
        <v>1684</v>
      </c>
      <c r="P138" s="24">
        <f t="shared" si="96"/>
        <v>1684</v>
      </c>
      <c r="Q138" s="26">
        <f t="shared" si="97"/>
        <v>1.57</v>
      </c>
      <c r="R138" s="26">
        <f t="shared" si="98"/>
        <v>1.41</v>
      </c>
      <c r="S138" s="26">
        <f t="shared" si="99"/>
        <v>1.35</v>
      </c>
      <c r="T138" s="26">
        <f t="shared" si="100"/>
        <v>1.2589999999999999</v>
      </c>
      <c r="U138" s="26">
        <f t="shared" si="101"/>
        <v>1.2589999999999999</v>
      </c>
      <c r="V138" s="25">
        <f t="shared" si="102"/>
        <v>0.30760650088477015</v>
      </c>
      <c r="W138" s="25">
        <f t="shared" si="108"/>
        <v>13863.672394280806</v>
      </c>
      <c r="X138" s="52">
        <f t="shared" si="103"/>
        <v>1398.4642849991963</v>
      </c>
      <c r="Y138" s="25">
        <f t="shared" si="104"/>
        <v>0.16107157510544512</v>
      </c>
      <c r="Z138" s="25">
        <f t="shared" si="88"/>
        <v>2.3612247497673993</v>
      </c>
      <c r="AA138" s="25">
        <f t="shared" si="105"/>
        <v>0.83053578755272262</v>
      </c>
      <c r="AB138" s="24">
        <f t="shared" si="106"/>
        <v>1</v>
      </c>
      <c r="AC138" s="24">
        <f t="shared" si="107"/>
        <v>1</v>
      </c>
    </row>
    <row r="139" spans="1:29">
      <c r="A139" t="s">
        <v>183</v>
      </c>
      <c r="B139">
        <v>138.69999999999999</v>
      </c>
      <c r="C139" s="40">
        <v>3.23</v>
      </c>
      <c r="D139">
        <v>331.7</v>
      </c>
      <c r="E139">
        <v>75.3</v>
      </c>
      <c r="F139">
        <v>416</v>
      </c>
      <c r="G139" s="59">
        <f t="shared" si="89"/>
        <v>42.941176470588232</v>
      </c>
      <c r="H139" s="58">
        <f t="shared" si="90"/>
        <v>0.67345570852454451</v>
      </c>
      <c r="I139" s="23">
        <f t="shared" si="91"/>
        <v>0.161</v>
      </c>
      <c r="J139">
        <v>2147</v>
      </c>
      <c r="K139" s="24">
        <f t="shared" si="92"/>
        <v>1335</v>
      </c>
      <c r="L139" s="40">
        <f t="shared" si="86"/>
        <v>2.9992790194664747</v>
      </c>
      <c r="M139" s="24">
        <f t="shared" si="93"/>
        <v>1490</v>
      </c>
      <c r="N139" s="24">
        <f t="shared" si="94"/>
        <v>1547</v>
      </c>
      <c r="O139" s="24">
        <f t="shared" si="95"/>
        <v>1663</v>
      </c>
      <c r="P139" s="24">
        <f t="shared" si="96"/>
        <v>1663</v>
      </c>
      <c r="Q139" s="26">
        <f t="shared" si="97"/>
        <v>1.61</v>
      </c>
      <c r="R139" s="26">
        <f t="shared" si="98"/>
        <v>1.44</v>
      </c>
      <c r="S139" s="26">
        <f t="shared" si="99"/>
        <v>1.39</v>
      </c>
      <c r="T139" s="26">
        <f t="shared" si="100"/>
        <v>1.2909999999999999</v>
      </c>
      <c r="U139" s="26">
        <f t="shared" si="101"/>
        <v>1.2909999999999999</v>
      </c>
      <c r="V139" s="25">
        <f t="shared" si="102"/>
        <v>0.3060234018450485</v>
      </c>
      <c r="W139" s="25">
        <f t="shared" si="108"/>
        <v>13734.582808204796</v>
      </c>
      <c r="X139" s="52">
        <f t="shared" si="103"/>
        <v>1374.6604424152013</v>
      </c>
      <c r="Y139" s="25">
        <f t="shared" si="104"/>
        <v>0.16125362333020415</v>
      </c>
      <c r="Z139" s="25">
        <f t="shared" si="88"/>
        <v>2.3588543960222528</v>
      </c>
      <c r="AA139" s="25">
        <f t="shared" si="105"/>
        <v>0.8306268116651021</v>
      </c>
      <c r="AB139" s="24">
        <f t="shared" si="106"/>
        <v>1</v>
      </c>
      <c r="AC139" s="24">
        <f t="shared" si="107"/>
        <v>1</v>
      </c>
    </row>
    <row r="140" spans="1:29">
      <c r="A140" t="s">
        <v>184</v>
      </c>
      <c r="B140">
        <v>138.69999999999999</v>
      </c>
      <c r="C140" s="40">
        <v>3.27</v>
      </c>
      <c r="D140">
        <v>331.7</v>
      </c>
      <c r="E140">
        <v>75.3</v>
      </c>
      <c r="F140">
        <v>416</v>
      </c>
      <c r="G140" s="59">
        <f t="shared" si="89"/>
        <v>42.415902140672777</v>
      </c>
      <c r="H140" s="58">
        <f t="shared" si="90"/>
        <v>0.66521771820620135</v>
      </c>
      <c r="I140" s="23">
        <f t="shared" si="91"/>
        <v>0.161</v>
      </c>
      <c r="J140">
        <v>2185</v>
      </c>
      <c r="K140" s="24">
        <f t="shared" si="92"/>
        <v>1340</v>
      </c>
      <c r="L140" s="40">
        <f t="shared" si="86"/>
        <v>2.9992790194664747</v>
      </c>
      <c r="M140" s="24">
        <f t="shared" si="93"/>
        <v>1494</v>
      </c>
      <c r="N140" s="24">
        <f t="shared" si="94"/>
        <v>1554</v>
      </c>
      <c r="O140" s="24">
        <f t="shared" si="95"/>
        <v>1670</v>
      </c>
      <c r="P140" s="24">
        <f t="shared" si="96"/>
        <v>1670</v>
      </c>
      <c r="Q140" s="26">
        <f t="shared" si="97"/>
        <v>1.63</v>
      </c>
      <c r="R140" s="26">
        <f t="shared" si="98"/>
        <v>1.46</v>
      </c>
      <c r="S140" s="26">
        <f t="shared" si="99"/>
        <v>1.41</v>
      </c>
      <c r="T140" s="26">
        <f t="shared" si="100"/>
        <v>1.3080000000000001</v>
      </c>
      <c r="U140" s="26">
        <f t="shared" si="101"/>
        <v>1.3080000000000001</v>
      </c>
      <c r="V140" s="25">
        <f t="shared" si="102"/>
        <v>0.30889244585558506</v>
      </c>
      <c r="W140" s="25">
        <f t="shared" si="108"/>
        <v>13717.970069708799</v>
      </c>
      <c r="X140" s="52">
        <f t="shared" si="103"/>
        <v>1391.2731809111972</v>
      </c>
      <c r="Y140" s="25">
        <f t="shared" si="104"/>
        <v>0.16096168461278068</v>
      </c>
      <c r="Z140" s="25">
        <f t="shared" si="88"/>
        <v>2.3626561211910904</v>
      </c>
      <c r="AA140" s="25">
        <f t="shared" si="105"/>
        <v>0.8304808423063903</v>
      </c>
      <c r="AB140" s="24">
        <f t="shared" si="106"/>
        <v>1</v>
      </c>
      <c r="AC140" s="24">
        <f t="shared" si="107"/>
        <v>1</v>
      </c>
    </row>
    <row r="141" spans="1:29">
      <c r="A141" t="s">
        <v>185</v>
      </c>
      <c r="B141">
        <v>158.6</v>
      </c>
      <c r="C141" s="40">
        <v>5.17</v>
      </c>
      <c r="D141">
        <v>356.3</v>
      </c>
      <c r="E141">
        <v>75.3</v>
      </c>
      <c r="F141">
        <v>477</v>
      </c>
      <c r="G141" s="59">
        <f t="shared" si="89"/>
        <v>30.676982591876207</v>
      </c>
      <c r="H141" s="58">
        <f t="shared" si="90"/>
        <v>0.516794746926028</v>
      </c>
      <c r="I141" s="23">
        <f t="shared" si="91"/>
        <v>0.157</v>
      </c>
      <c r="J141">
        <v>3198</v>
      </c>
      <c r="K141" s="24">
        <f t="shared" si="92"/>
        <v>1993</v>
      </c>
      <c r="L141" s="40">
        <f t="shared" si="86"/>
        <v>3.007566204287516</v>
      </c>
      <c r="M141" s="24">
        <f t="shared" si="93"/>
        <v>2188</v>
      </c>
      <c r="N141" s="24">
        <f t="shared" si="94"/>
        <v>2392</v>
      </c>
      <c r="O141" s="24">
        <f t="shared" si="95"/>
        <v>2521</v>
      </c>
      <c r="P141" s="24">
        <f t="shared" si="96"/>
        <v>2521</v>
      </c>
      <c r="Q141" s="26">
        <f t="shared" si="97"/>
        <v>1.6</v>
      </c>
      <c r="R141" s="26">
        <f t="shared" si="98"/>
        <v>1.46</v>
      </c>
      <c r="S141" s="26">
        <f t="shared" si="99"/>
        <v>1.34</v>
      </c>
      <c r="T141" s="26">
        <f t="shared" si="100"/>
        <v>1.2689999999999999</v>
      </c>
      <c r="U141" s="26">
        <f t="shared" si="101"/>
        <v>1.2689999999999999</v>
      </c>
      <c r="V141" s="25">
        <f t="shared" si="102"/>
        <v>0.4058066084909599</v>
      </c>
      <c r="W141" s="25">
        <f t="shared" si="108"/>
        <v>17263.855114984799</v>
      </c>
      <c r="X141" s="52">
        <f t="shared" si="103"/>
        <v>2492.0147610952013</v>
      </c>
      <c r="Y141" s="25">
        <f t="shared" si="104"/>
        <v>0.15653051565993728</v>
      </c>
      <c r="Z141" s="25">
        <f t="shared" si="88"/>
        <v>2.4207160999481805</v>
      </c>
      <c r="AA141" s="25">
        <f t="shared" si="105"/>
        <v>0.82826525782996863</v>
      </c>
      <c r="AB141" s="24">
        <f t="shared" si="106"/>
        <v>1</v>
      </c>
      <c r="AC141" s="24">
        <f t="shared" si="107"/>
        <v>1</v>
      </c>
    </row>
    <row r="142" spans="1:29">
      <c r="A142" t="s">
        <v>186</v>
      </c>
      <c r="B142">
        <v>158.9</v>
      </c>
      <c r="C142" s="40">
        <v>5.12</v>
      </c>
      <c r="D142">
        <v>356.3</v>
      </c>
      <c r="E142">
        <v>75.3</v>
      </c>
      <c r="F142">
        <v>477</v>
      </c>
      <c r="G142" s="59">
        <f t="shared" si="89"/>
        <v>31.03515625</v>
      </c>
      <c r="H142" s="58">
        <f t="shared" si="90"/>
        <v>0.52282866060874711</v>
      </c>
      <c r="I142" s="23">
        <f t="shared" si="91"/>
        <v>0.156</v>
      </c>
      <c r="J142">
        <v>3095</v>
      </c>
      <c r="K142" s="24">
        <f t="shared" si="92"/>
        <v>1992</v>
      </c>
      <c r="L142" s="40">
        <f t="shared" si="86"/>
        <v>3.0018879798615479</v>
      </c>
      <c r="M142" s="24">
        <f t="shared" si="93"/>
        <v>2188</v>
      </c>
      <c r="N142" s="24">
        <f t="shared" si="94"/>
        <v>2389</v>
      </c>
      <c r="O142" s="24">
        <f t="shared" si="95"/>
        <v>2520</v>
      </c>
      <c r="P142" s="24">
        <f t="shared" si="96"/>
        <v>2520</v>
      </c>
      <c r="Q142" s="26">
        <f t="shared" si="97"/>
        <v>1.55</v>
      </c>
      <c r="R142" s="26">
        <f t="shared" si="98"/>
        <v>1.41</v>
      </c>
      <c r="S142" s="26">
        <f t="shared" si="99"/>
        <v>1.3</v>
      </c>
      <c r="T142" s="26">
        <f t="shared" si="100"/>
        <v>1.228</v>
      </c>
      <c r="U142" s="26">
        <f t="shared" si="101"/>
        <v>1.228</v>
      </c>
      <c r="V142" s="25">
        <f t="shared" si="102"/>
        <v>0.40279874112558867</v>
      </c>
      <c r="W142" s="25">
        <f t="shared" si="108"/>
        <v>17357.135264648798</v>
      </c>
      <c r="X142" s="52">
        <f t="shared" si="103"/>
        <v>2473.5437709312041</v>
      </c>
      <c r="Y142" s="25">
        <f t="shared" si="104"/>
        <v>0.15644953312502285</v>
      </c>
      <c r="Z142" s="25">
        <f t="shared" si="88"/>
        <v>2.4217833962427173</v>
      </c>
      <c r="AA142" s="25">
        <f t="shared" si="105"/>
        <v>0.82822476656251143</v>
      </c>
      <c r="AB142" s="24">
        <f t="shared" si="106"/>
        <v>1</v>
      </c>
      <c r="AC142" s="24">
        <f t="shared" si="107"/>
        <v>1</v>
      </c>
    </row>
    <row r="143" spans="1:29">
      <c r="A143" t="s">
        <v>187</v>
      </c>
      <c r="B143">
        <v>159.1</v>
      </c>
      <c r="C143" s="40">
        <v>5.1100000000000003</v>
      </c>
      <c r="D143">
        <v>356.3</v>
      </c>
      <c r="E143">
        <v>75.3</v>
      </c>
      <c r="F143">
        <v>477</v>
      </c>
      <c r="G143" s="59">
        <f t="shared" si="89"/>
        <v>31.135029354207433</v>
      </c>
      <c r="H143" s="58">
        <f t="shared" si="90"/>
        <v>0.52451115644936686</v>
      </c>
      <c r="I143" s="23">
        <f t="shared" si="91"/>
        <v>0.156</v>
      </c>
      <c r="J143">
        <v>3031</v>
      </c>
      <c r="K143" s="24">
        <f t="shared" si="92"/>
        <v>1995</v>
      </c>
      <c r="L143" s="40">
        <f t="shared" si="86"/>
        <v>2.9981143934632306</v>
      </c>
      <c r="M143" s="24">
        <f t="shared" si="93"/>
        <v>2192</v>
      </c>
      <c r="N143" s="24">
        <f t="shared" si="94"/>
        <v>2392</v>
      </c>
      <c r="O143" s="24">
        <f t="shared" si="95"/>
        <v>2523</v>
      </c>
      <c r="P143" s="24">
        <f t="shared" si="96"/>
        <v>2523</v>
      </c>
      <c r="Q143" s="26">
        <f t="shared" si="97"/>
        <v>1.52</v>
      </c>
      <c r="R143" s="26">
        <f t="shared" si="98"/>
        <v>1.38</v>
      </c>
      <c r="S143" s="26">
        <f t="shared" si="99"/>
        <v>1.27</v>
      </c>
      <c r="T143" s="26">
        <f t="shared" si="100"/>
        <v>1.2010000000000001</v>
      </c>
      <c r="U143" s="26">
        <f t="shared" si="101"/>
        <v>1.2010000000000001</v>
      </c>
      <c r="V143" s="25">
        <f t="shared" si="102"/>
        <v>0.40182640693238658</v>
      </c>
      <c r="W143" s="25">
        <f t="shared" si="108"/>
        <v>17408.546475251198</v>
      </c>
      <c r="X143" s="52">
        <f t="shared" si="103"/>
        <v>2472.0838731288</v>
      </c>
      <c r="Y143" s="25">
        <f t="shared" si="104"/>
        <v>0.15633987671969493</v>
      </c>
      <c r="Z143" s="25">
        <f t="shared" si="88"/>
        <v>2.4232289505820441</v>
      </c>
      <c r="AA143" s="25">
        <f t="shared" si="105"/>
        <v>0.82816993835984742</v>
      </c>
      <c r="AB143" s="24">
        <f t="shared" si="106"/>
        <v>1</v>
      </c>
      <c r="AC143" s="24">
        <f t="shared" si="107"/>
        <v>1</v>
      </c>
    </row>
  </sheetData>
  <mergeCells count="3">
    <mergeCell ref="A2:F2"/>
    <mergeCell ref="A1:I1"/>
    <mergeCell ref="G2:I2"/>
  </mergeCells>
  <phoneticPr fontId="0" type="noConversion"/>
  <pageMargins left="0.75" right="0.75" top="1" bottom="1" header="0.5" footer="0.5"/>
  <pageSetup paperSize="9" scale="80" orientation="portrait" horizontalDpi="300" verticalDpi="0" r:id="rId1"/>
  <headerFooter alignWithMargins="0"/>
  <rowBreaks count="1" manualBreakCount="1">
    <brk id="46" max="16383" man="1"/>
  </rowBreaks>
  <colBreaks count="2" manualBreakCount="2">
    <brk id="10" max="1048575" man="1"/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3"/>
  <sheetViews>
    <sheetView zoomScaleNormal="100" workbookViewId="0" xr3:uid="{958C4451-9541-5A59-BF78-D2F731DF1C81}">
      <pane xSplit="1" ySplit="4" topLeftCell="B138" activePane="bottomRight" state="frozen"/>
      <selection pane="bottomRight" activeCell="C129" sqref="C129"/>
      <selection pane="bottomLeft" activeCell="A5" sqref="A5"/>
      <selection pane="topRight" activeCell="B1" sqref="B1"/>
    </sheetView>
  </sheetViews>
  <sheetFormatPr defaultRowHeight="12.75"/>
  <cols>
    <col min="1" max="1" width="14.7109375" customWidth="1"/>
  </cols>
  <sheetData>
    <row r="1" spans="1:11">
      <c r="A1" s="77" t="s">
        <v>188</v>
      </c>
      <c r="B1" s="77"/>
      <c r="C1" s="77" t="s">
        <v>189</v>
      </c>
      <c r="D1" s="77"/>
      <c r="E1" s="77"/>
      <c r="F1" s="77"/>
      <c r="G1" s="77"/>
      <c r="H1" s="77"/>
      <c r="I1" s="77"/>
      <c r="J1" s="77"/>
      <c r="K1" s="77"/>
    </row>
    <row r="2" spans="1:11">
      <c r="A2" s="67"/>
      <c r="C2" s="77" t="s">
        <v>190</v>
      </c>
      <c r="D2" s="77"/>
      <c r="E2" s="77"/>
      <c r="F2" s="67"/>
      <c r="G2" s="67"/>
    </row>
    <row r="3" spans="1:11">
      <c r="A3" s="67" t="str">
        <f>[1]Data!A4</f>
        <v>Ref. No.</v>
      </c>
      <c r="B3" s="67" t="str">
        <f>[1]Data!B4</f>
        <v xml:space="preserve">  Dia.</v>
      </c>
      <c r="C3" s="67" t="str">
        <f>[1]Data!C4</f>
        <v xml:space="preserve"> thick</v>
      </c>
      <c r="D3" s="67" t="s">
        <v>9</v>
      </c>
      <c r="E3" s="67" t="s">
        <v>10</v>
      </c>
      <c r="F3" s="67" t="s">
        <v>191</v>
      </c>
      <c r="G3" s="67" t="s">
        <v>192</v>
      </c>
      <c r="H3" s="28" t="str">
        <f>[1]Data!Q4</f>
        <v xml:space="preserve">  Test </v>
      </c>
      <c r="I3" s="28" t="str">
        <f>[1]Data!R4</f>
        <v xml:space="preserve">  Test  </v>
      </c>
      <c r="J3" s="28" t="str">
        <f>[1]Data!S4</f>
        <v xml:space="preserve">  Test </v>
      </c>
      <c r="K3" s="28" t="str">
        <f>[1]Data!T4</f>
        <v xml:space="preserve">  Test </v>
      </c>
    </row>
    <row r="4" spans="1:11">
      <c r="A4" s="67" t="s">
        <v>193</v>
      </c>
      <c r="B4" s="67" t="str">
        <f>[1]Data!B5</f>
        <v xml:space="preserve">   mm</v>
      </c>
      <c r="C4" s="67" t="str">
        <f>[1]Data!C5</f>
        <v xml:space="preserve">   mm</v>
      </c>
      <c r="D4" s="67" t="s">
        <v>34</v>
      </c>
      <c r="E4" s="67" t="s">
        <v>34</v>
      </c>
      <c r="F4" s="67" t="s">
        <v>194</v>
      </c>
      <c r="G4" s="67" t="s">
        <v>195</v>
      </c>
      <c r="H4" s="67" t="str">
        <f>[1]Data!Q5</f>
        <v xml:space="preserve"> Nunia</v>
      </c>
      <c r="I4" s="67" t="str">
        <f>[1]Data!R5</f>
        <v>no eta</v>
      </c>
      <c r="J4" s="67" t="str">
        <f>[1]Data!S5</f>
        <v xml:space="preserve"> Nucdg</v>
      </c>
      <c r="K4" s="67" t="str">
        <f>[1]Data!T5</f>
        <v xml:space="preserve"> NuEC4</v>
      </c>
    </row>
    <row r="5" spans="1:11">
      <c r="A5" s="43" t="str">
        <f>Data!A6</f>
        <v>Giakoumelis &amp; Lam</v>
      </c>
      <c r="B5" s="67">
        <v>2004</v>
      </c>
      <c r="C5" s="68" t="s">
        <v>196</v>
      </c>
      <c r="D5" s="67"/>
      <c r="E5" s="67" t="s">
        <v>49</v>
      </c>
      <c r="F5" s="67"/>
      <c r="G5" s="67"/>
      <c r="H5" s="67"/>
      <c r="I5" s="67"/>
      <c r="J5" s="67"/>
      <c r="K5" s="67"/>
    </row>
    <row r="6" spans="1:11">
      <c r="A6" s="68" t="str">
        <f>Data!A7</f>
        <v>C1</v>
      </c>
      <c r="B6" s="29">
        <f>Data!B7</f>
        <v>114</v>
      </c>
      <c r="C6" s="29">
        <f>Data!C7</f>
        <v>3.87</v>
      </c>
      <c r="D6" s="29">
        <f>Data!D7</f>
        <v>343</v>
      </c>
      <c r="E6" s="29">
        <f>Data!E7</f>
        <v>0.1</v>
      </c>
      <c r="F6" s="29">
        <f>Data!F7</f>
        <v>298.89999999999998</v>
      </c>
      <c r="G6" s="29">
        <f>Data!J7</f>
        <v>539</v>
      </c>
      <c r="H6" s="29">
        <f>Data!Q7</f>
        <v>1.17</v>
      </c>
      <c r="I6" s="29">
        <f>Data!R7</f>
        <v>1.17</v>
      </c>
      <c r="J6" s="29">
        <f>Data!S7</f>
        <v>1.17</v>
      </c>
      <c r="K6" s="50">
        <f>Data!U7</f>
        <v>1.1719999999999999</v>
      </c>
    </row>
    <row r="7" spans="1:11">
      <c r="A7" s="68" t="str">
        <f>Data!A8</f>
        <v>C2</v>
      </c>
      <c r="B7" s="29">
        <f>Data!B8</f>
        <v>115.04</v>
      </c>
      <c r="C7" s="29">
        <f>Data!C8</f>
        <v>5.0199999999999996</v>
      </c>
      <c r="D7" s="29">
        <f>Data!D8</f>
        <v>343</v>
      </c>
      <c r="E7" s="29">
        <f>Data!E8</f>
        <v>0.1</v>
      </c>
      <c r="F7" s="29">
        <f>Data!F8</f>
        <v>300</v>
      </c>
      <c r="G7" s="29">
        <f>Data!J8</f>
        <v>805.8</v>
      </c>
      <c r="H7" s="29">
        <f>Data!Q8</f>
        <v>1.35</v>
      </c>
      <c r="I7" s="29">
        <f>Data!R8</f>
        <v>1.35</v>
      </c>
      <c r="J7" s="29">
        <f>Data!S8</f>
        <v>1.35</v>
      </c>
      <c r="K7" s="50">
        <f>Data!U8</f>
        <v>1.3520000000000001</v>
      </c>
    </row>
    <row r="8" spans="1:11">
      <c r="A8" s="68" t="str">
        <f>Data!A9</f>
        <v>C3</v>
      </c>
      <c r="B8" s="29">
        <f>Data!B9</f>
        <v>114.43</v>
      </c>
      <c r="C8" s="29">
        <f>Data!C9</f>
        <v>3.98</v>
      </c>
      <c r="D8" s="29">
        <f>Data!D9</f>
        <v>343</v>
      </c>
      <c r="E8" s="29">
        <f>Data!E9</f>
        <v>25.1</v>
      </c>
      <c r="F8" s="29">
        <f>Data!F9</f>
        <v>300</v>
      </c>
      <c r="G8" s="29">
        <f>Data!J9</f>
        <v>948</v>
      </c>
      <c r="H8" s="29">
        <f>Data!Q9</f>
        <v>1.43</v>
      </c>
      <c r="I8" s="29">
        <f>Data!R9</f>
        <v>1.36</v>
      </c>
      <c r="J8" s="29">
        <f>Data!S9</f>
        <v>1.08</v>
      </c>
      <c r="K8" s="50">
        <f>Data!U9</f>
        <v>1.016</v>
      </c>
    </row>
    <row r="9" spans="1:11">
      <c r="A9" s="68" t="str">
        <f>Data!A10</f>
        <v>C4</v>
      </c>
      <c r="B9" s="29">
        <f>Data!B10</f>
        <v>114.57</v>
      </c>
      <c r="C9" s="29">
        <f>Data!C10</f>
        <v>3.99</v>
      </c>
      <c r="D9" s="29">
        <f>Data!D10</f>
        <v>343</v>
      </c>
      <c r="E9" s="29">
        <f>Data!E10</f>
        <v>74.900000000000006</v>
      </c>
      <c r="F9" s="29">
        <f>Data!F10</f>
        <v>300</v>
      </c>
      <c r="G9" s="29">
        <f>Data!J10</f>
        <v>1308</v>
      </c>
      <c r="H9" s="29">
        <f>Data!Q10</f>
        <v>1.25</v>
      </c>
      <c r="I9" s="29">
        <f>Data!R10</f>
        <v>1.1399999999999999</v>
      </c>
      <c r="J9" s="29">
        <f>Data!S10</f>
        <v>1.04</v>
      </c>
      <c r="K9" s="50">
        <f>Data!U10</f>
        <v>0.97099999999999997</v>
      </c>
    </row>
    <row r="10" spans="1:11">
      <c r="A10" s="68" t="str">
        <f>Data!A11</f>
        <v>C5g</v>
      </c>
      <c r="B10" s="29">
        <f>Data!B11</f>
        <v>114.43</v>
      </c>
      <c r="C10" s="29">
        <f>Data!C11</f>
        <v>3.82</v>
      </c>
      <c r="D10" s="29">
        <f>Data!D11</f>
        <v>343</v>
      </c>
      <c r="E10" s="29">
        <f>Data!E11</f>
        <v>27.8</v>
      </c>
      <c r="F10" s="29">
        <f>Data!F11</f>
        <v>300</v>
      </c>
      <c r="G10" s="29">
        <f>Data!J11</f>
        <v>929</v>
      </c>
      <c r="H10" s="29">
        <f>Data!Q11</f>
        <v>1.39</v>
      </c>
      <c r="I10" s="29">
        <f>Data!R11</f>
        <v>1.32</v>
      </c>
      <c r="J10" s="29">
        <f>Data!S11</f>
        <v>1.07</v>
      </c>
      <c r="K10" s="50">
        <f>Data!U11</f>
        <v>0.999</v>
      </c>
    </row>
    <row r="11" spans="1:11">
      <c r="A11" s="68" t="str">
        <f>Data!A12</f>
        <v>C6g</v>
      </c>
      <c r="B11" s="29">
        <f>Data!B12</f>
        <v>114.26</v>
      </c>
      <c r="C11" s="29">
        <f>Data!C12</f>
        <v>3.93</v>
      </c>
      <c r="D11" s="29">
        <f>Data!D12</f>
        <v>343</v>
      </c>
      <c r="E11" s="29">
        <f>Data!E12</f>
        <v>77.8</v>
      </c>
      <c r="F11" s="29">
        <f>Data!F12</f>
        <v>300</v>
      </c>
      <c r="G11" s="29">
        <f>Data!J12</f>
        <v>1359</v>
      </c>
      <c r="H11" s="29">
        <f>Data!Q12</f>
        <v>1.29</v>
      </c>
      <c r="I11" s="29">
        <f>Data!R12</f>
        <v>1.17</v>
      </c>
      <c r="J11" s="29">
        <f>Data!S12</f>
        <v>1.08</v>
      </c>
      <c r="K11" s="50">
        <f>Data!U12</f>
        <v>1.0009999999999999</v>
      </c>
    </row>
    <row r="12" spans="1:11">
      <c r="A12" s="68" t="str">
        <f>Data!A13</f>
        <v>C7</v>
      </c>
      <c r="B12" s="29">
        <f>Data!B13</f>
        <v>114.88</v>
      </c>
      <c r="C12" s="29">
        <f>Data!C13</f>
        <v>4.91</v>
      </c>
      <c r="D12" s="29">
        <f>Data!D13</f>
        <v>343</v>
      </c>
      <c r="E12" s="29">
        <f>Data!E13</f>
        <v>27.8</v>
      </c>
      <c r="F12" s="29">
        <f>Data!F13</f>
        <v>300.5</v>
      </c>
      <c r="G12" s="29">
        <f>Data!J13</f>
        <v>1380</v>
      </c>
      <c r="H12" s="29">
        <f>Data!Q13</f>
        <v>1.75</v>
      </c>
      <c r="I12" s="29">
        <f>Data!R13</f>
        <v>1.68</v>
      </c>
      <c r="J12" s="29">
        <f>Data!S13</f>
        <v>1.33</v>
      </c>
      <c r="K12" s="50">
        <f>Data!U13</f>
        <v>1.2549999999999999</v>
      </c>
    </row>
    <row r="13" spans="1:11">
      <c r="A13" s="68" t="str">
        <f>Data!A14</f>
        <v>C8</v>
      </c>
      <c r="B13" s="29">
        <f>Data!B14</f>
        <v>115.04</v>
      </c>
      <c r="C13" s="29">
        <f>Data!C14</f>
        <v>4.92</v>
      </c>
      <c r="D13" s="29">
        <f>Data!D14</f>
        <v>343</v>
      </c>
      <c r="E13" s="29">
        <f>Data!E14</f>
        <v>83.9</v>
      </c>
      <c r="F13" s="29">
        <f>Data!F14</f>
        <v>300</v>
      </c>
      <c r="G13" s="29">
        <f>Data!J14</f>
        <v>1787</v>
      </c>
      <c r="H13" s="29">
        <f>Data!Q14</f>
        <v>1.48</v>
      </c>
      <c r="I13" s="29">
        <f>Data!R14</f>
        <v>1.36</v>
      </c>
      <c r="J13" s="29">
        <f>Data!S14</f>
        <v>1.23</v>
      </c>
      <c r="K13" s="50">
        <f>Data!U14</f>
        <v>1.149</v>
      </c>
    </row>
    <row r="14" spans="1:11">
      <c r="A14" s="68" t="str">
        <f>Data!A15</f>
        <v>C9</v>
      </c>
      <c r="B14" s="29">
        <f>Data!B15</f>
        <v>115.02</v>
      </c>
      <c r="C14" s="29">
        <f>Data!C15</f>
        <v>5.0199999999999996</v>
      </c>
      <c r="D14" s="29">
        <f>Data!D15</f>
        <v>343</v>
      </c>
      <c r="E14" s="29">
        <f>Data!E15</f>
        <v>46.1</v>
      </c>
      <c r="F14" s="29">
        <f>Data!F15</f>
        <v>300.5</v>
      </c>
      <c r="G14" s="29">
        <f>Data!J15</f>
        <v>1413</v>
      </c>
      <c r="H14" s="29">
        <f>Data!Q15</f>
        <v>1.51</v>
      </c>
      <c r="I14" s="29">
        <f>Data!R15</f>
        <v>1.42</v>
      </c>
      <c r="J14" s="29">
        <f>Data!S15</f>
        <v>1.19</v>
      </c>
      <c r="K14" s="50">
        <f>Data!U15</f>
        <v>1.119</v>
      </c>
    </row>
    <row r="15" spans="1:11">
      <c r="A15" s="68" t="str">
        <f>Data!A16</f>
        <v>C10g</v>
      </c>
      <c r="B15" s="29">
        <f>Data!B16</f>
        <v>114.49</v>
      </c>
      <c r="C15" s="29">
        <f>Data!C16</f>
        <v>3.75</v>
      </c>
      <c r="D15" s="29">
        <f>Data!D16</f>
        <v>343</v>
      </c>
      <c r="E15" s="29">
        <f>Data!E16</f>
        <v>46.1</v>
      </c>
      <c r="F15" s="29">
        <f>Data!F16</f>
        <v>299.3</v>
      </c>
      <c r="G15" s="29">
        <f>Data!J16</f>
        <v>1038</v>
      </c>
      <c r="H15" s="29">
        <f>Data!Q16</f>
        <v>1.3</v>
      </c>
      <c r="I15" s="29">
        <f>Data!R16</f>
        <v>1.2</v>
      </c>
      <c r="J15" s="29">
        <f>Data!S16</f>
        <v>1.04</v>
      </c>
      <c r="K15" s="50">
        <f>Data!U16</f>
        <v>0.96799999999999997</v>
      </c>
    </row>
    <row r="16" spans="1:11">
      <c r="A16" s="68" t="str">
        <f>Data!A17</f>
        <v>C11</v>
      </c>
      <c r="B16" s="29">
        <f>Data!B17</f>
        <v>114.29</v>
      </c>
      <c r="C16" s="29">
        <f>Data!C17</f>
        <v>3.75</v>
      </c>
      <c r="D16" s="29">
        <f>Data!D17</f>
        <v>343</v>
      </c>
      <c r="E16" s="29">
        <f>Data!E17</f>
        <v>46.1</v>
      </c>
      <c r="F16" s="29">
        <f>Data!F17</f>
        <v>300</v>
      </c>
      <c r="G16" s="29">
        <f>Data!J17</f>
        <v>1067</v>
      </c>
      <c r="H16" s="29">
        <f>Data!Q17</f>
        <v>1.34</v>
      </c>
      <c r="I16" s="29">
        <f>Data!R17</f>
        <v>1.24</v>
      </c>
      <c r="J16" s="29">
        <f>Data!S17</f>
        <v>1.07</v>
      </c>
      <c r="K16" s="50">
        <f>Data!U17</f>
        <v>0.999</v>
      </c>
    </row>
    <row r="17" spans="1:11">
      <c r="A17" s="68" t="str">
        <f>Data!A18</f>
        <v>C12</v>
      </c>
      <c r="B17" s="29">
        <f>Data!B18</f>
        <v>114.3</v>
      </c>
      <c r="C17" s="29">
        <f>Data!C18</f>
        <v>3.85</v>
      </c>
      <c r="D17" s="29">
        <f>Data!D18</f>
        <v>343</v>
      </c>
      <c r="E17" s="29">
        <f>Data!E18</f>
        <v>25.5</v>
      </c>
      <c r="F17" s="29">
        <f>Data!F18</f>
        <v>300</v>
      </c>
      <c r="G17" s="29">
        <f>Data!J18</f>
        <v>998</v>
      </c>
      <c r="H17" s="29">
        <f>Data!Q18</f>
        <v>1.53</v>
      </c>
      <c r="I17" s="29">
        <f>Data!R18</f>
        <v>1.45</v>
      </c>
      <c r="J17" s="29">
        <f>Data!S18</f>
        <v>1.1599999999999999</v>
      </c>
      <c r="K17" s="50">
        <f>Data!U18</f>
        <v>1.0920000000000001</v>
      </c>
    </row>
    <row r="18" spans="1:11">
      <c r="A18" s="68" t="str">
        <f>Data!A19</f>
        <v>C13g</v>
      </c>
      <c r="B18" s="29">
        <f>Data!B19</f>
        <v>114.09</v>
      </c>
      <c r="C18" s="29">
        <f>Data!C19</f>
        <v>3.85</v>
      </c>
      <c r="D18" s="29">
        <f>Data!D19</f>
        <v>343</v>
      </c>
      <c r="E18" s="29">
        <f>Data!E19</f>
        <v>25.5</v>
      </c>
      <c r="F18" s="29">
        <f>Data!F19</f>
        <v>300.5</v>
      </c>
      <c r="G18" s="29">
        <f>Data!J19</f>
        <v>948</v>
      </c>
      <c r="H18" s="29">
        <f>Data!Q19</f>
        <v>1.46</v>
      </c>
      <c r="I18" s="29">
        <f>Data!R19</f>
        <v>1.39</v>
      </c>
      <c r="J18" s="29">
        <f>Data!S19</f>
        <v>1.1100000000000001</v>
      </c>
      <c r="K18" s="50">
        <f>Data!U19</f>
        <v>1.0409999999999999</v>
      </c>
    </row>
    <row r="19" spans="1:11">
      <c r="A19" s="68" t="str">
        <f>Data!A20</f>
        <v>C14</v>
      </c>
      <c r="B19" s="29">
        <f>Data!B20</f>
        <v>114.54</v>
      </c>
      <c r="C19" s="29">
        <f>Data!C20</f>
        <v>3.84</v>
      </c>
      <c r="D19" s="29">
        <f>Data!D20</f>
        <v>343</v>
      </c>
      <c r="E19" s="29">
        <f>Data!E20</f>
        <v>79.099999999999994</v>
      </c>
      <c r="F19" s="29">
        <f>Data!F20</f>
        <v>300</v>
      </c>
      <c r="G19" s="29">
        <f>Data!J20</f>
        <v>1359</v>
      </c>
      <c r="H19" s="29">
        <f>Data!Q20</f>
        <v>1.28</v>
      </c>
      <c r="I19" s="29">
        <f>Data!R20</f>
        <v>1.1599999999999999</v>
      </c>
      <c r="J19" s="29">
        <f>Data!S20</f>
        <v>1.07</v>
      </c>
      <c r="K19" s="50">
        <f>Data!U20</f>
        <v>0.998</v>
      </c>
    </row>
    <row r="20" spans="1:11">
      <c r="A20" s="68" t="str">
        <f>Data!A21</f>
        <v>C15g</v>
      </c>
      <c r="B20" s="29">
        <f>Data!B21</f>
        <v>114.37</v>
      </c>
      <c r="C20" s="29">
        <f>Data!C21</f>
        <v>3.85</v>
      </c>
      <c r="D20" s="29">
        <f>Data!D21</f>
        <v>343</v>
      </c>
      <c r="E20" s="29">
        <f>Data!E21</f>
        <v>79.099999999999994</v>
      </c>
      <c r="F20" s="29">
        <f>Data!F21</f>
        <v>299.5</v>
      </c>
      <c r="G20" s="29">
        <f>Data!J21</f>
        <v>1182</v>
      </c>
      <c r="H20" s="29">
        <f>Data!Q21</f>
        <v>1.1200000000000001</v>
      </c>
      <c r="I20" s="29">
        <f>Data!R21</f>
        <v>1.01</v>
      </c>
      <c r="J20" s="29">
        <f>Data!S21</f>
        <v>0.93</v>
      </c>
      <c r="K20" s="50">
        <f>Data!U21</f>
        <v>0.86899999999999999</v>
      </c>
    </row>
    <row r="21" spans="1:11">
      <c r="A21" s="68"/>
      <c r="B21" s="29"/>
      <c r="C21" s="29"/>
      <c r="D21" s="29"/>
      <c r="E21" s="29"/>
      <c r="F21" s="29"/>
      <c r="G21" s="37" t="s">
        <v>197</v>
      </c>
      <c r="H21" s="38">
        <f>AVERAGE(H6:H20)</f>
        <v>1.3766666666666667</v>
      </c>
      <c r="I21" s="38">
        <f>AVERAGE(I6:I20)</f>
        <v>1.2946666666666666</v>
      </c>
      <c r="J21" s="38">
        <f>AVERAGE(J6:J20)</f>
        <v>1.1280000000000001</v>
      </c>
      <c r="K21" s="38">
        <f>AVERAGE(K6:K20)</f>
        <v>1.0667333333333333</v>
      </c>
    </row>
    <row r="22" spans="1:11">
      <c r="A22" s="67" t="str">
        <f>Data!A23</f>
        <v>Ellobody et al</v>
      </c>
      <c r="B22" s="67">
        <f>Data!B23</f>
        <v>2006</v>
      </c>
      <c r="C22" s="68" t="str">
        <f>Data!C23</f>
        <v>Ref. 102</v>
      </c>
      <c r="D22" s="29"/>
      <c r="E22" s="67" t="s">
        <v>49</v>
      </c>
      <c r="F22" s="29"/>
      <c r="G22" s="29" t="s">
        <v>198</v>
      </c>
      <c r="H22" s="36">
        <f>STDEV(H6:H20)</f>
        <v>0.1582794394492878</v>
      </c>
      <c r="I22" s="36">
        <f>STDEV(I6:I20)</f>
        <v>0.16383208593237389</v>
      </c>
      <c r="J22" s="36">
        <f>STDEV(J6:J20)</f>
        <v>0.11238962839794679</v>
      </c>
      <c r="K22" s="36">
        <f>STDEV(K6:K20)</f>
        <v>0.12464490515441246</v>
      </c>
    </row>
    <row r="23" spans="1:11">
      <c r="A23" s="68" t="str">
        <f>Data!A24</f>
        <v>CC6-C-0</v>
      </c>
      <c r="B23" s="29">
        <f>Data!B24</f>
        <v>238</v>
      </c>
      <c r="C23" s="29">
        <f>Data!C24</f>
        <v>4.54</v>
      </c>
      <c r="D23" s="29">
        <f>Data!D24</f>
        <v>507</v>
      </c>
      <c r="E23" s="35">
        <f>Data!E24</f>
        <v>0.1</v>
      </c>
      <c r="F23" s="29">
        <f>Data!F24</f>
        <v>714</v>
      </c>
      <c r="G23" s="29">
        <f>Data!J24</f>
        <v>1768</v>
      </c>
      <c r="H23" s="29">
        <f>Data!Q24</f>
        <v>1.04</v>
      </c>
      <c r="I23" s="29">
        <f>Data!R24</f>
        <v>1.04</v>
      </c>
      <c r="J23" s="29">
        <f>Data!S24</f>
        <v>1.04</v>
      </c>
      <c r="K23" s="50">
        <f>Data!U24</f>
        <v>1.0449999999999999</v>
      </c>
    </row>
    <row r="24" spans="1:11">
      <c r="A24" s="68" t="str">
        <f>Data!A25</f>
        <v>CC6-D-0</v>
      </c>
      <c r="B24" s="29">
        <f>Data!B25</f>
        <v>360</v>
      </c>
      <c r="C24" s="29">
        <f>Data!C25</f>
        <v>4.54</v>
      </c>
      <c r="D24" s="29">
        <f>Data!D25</f>
        <v>525</v>
      </c>
      <c r="E24" s="35">
        <f>Data!E25</f>
        <v>0.1</v>
      </c>
      <c r="F24" s="29">
        <f>Data!F25</f>
        <v>1080</v>
      </c>
      <c r="G24" s="29">
        <f>Data!J25</f>
        <v>2778</v>
      </c>
      <c r="H24" s="29">
        <f>Data!Q25</f>
        <v>1.04</v>
      </c>
      <c r="I24" s="29">
        <f>Data!R25</f>
        <v>1.04</v>
      </c>
      <c r="J24" s="29">
        <f>Data!S25</f>
        <v>1.04</v>
      </c>
      <c r="K24" s="50">
        <f>Data!U25</f>
        <v>1.04</v>
      </c>
    </row>
    <row r="25" spans="1:11">
      <c r="A25" s="68" t="str">
        <f>Data!A26</f>
        <v>CC6-C-2</v>
      </c>
      <c r="B25" s="29">
        <f>Data!B26</f>
        <v>239</v>
      </c>
      <c r="C25" s="29">
        <f>Data!C26</f>
        <v>4.54</v>
      </c>
      <c r="D25" s="29">
        <f>Data!D26</f>
        <v>507</v>
      </c>
      <c r="E25" s="35">
        <f>Data!E26</f>
        <v>25.4</v>
      </c>
      <c r="F25" s="29">
        <f>Data!F26</f>
        <v>717</v>
      </c>
      <c r="G25" s="29">
        <f>Data!J26</f>
        <v>3035</v>
      </c>
      <c r="H25" s="29">
        <f>Data!Q26</f>
        <v>1.17</v>
      </c>
      <c r="I25" s="29">
        <f>Data!R26</f>
        <v>1.1000000000000001</v>
      </c>
      <c r="J25" s="29">
        <f>Data!S26</f>
        <v>0.9</v>
      </c>
      <c r="K25" s="50">
        <f>Data!U26</f>
        <v>0.86899999999999999</v>
      </c>
    </row>
    <row r="26" spans="1:11">
      <c r="A26" s="68" t="str">
        <f>Data!A27</f>
        <v>CC6-C-4-2</v>
      </c>
      <c r="B26" s="29">
        <f>Data!B27</f>
        <v>238</v>
      </c>
      <c r="C26" s="29">
        <f>Data!C27</f>
        <v>4.54</v>
      </c>
      <c r="D26" s="29">
        <f>Data!D27</f>
        <v>507</v>
      </c>
      <c r="E26" s="35">
        <f>Data!E27</f>
        <v>40.5</v>
      </c>
      <c r="F26" s="29">
        <f>Data!F27</f>
        <v>714</v>
      </c>
      <c r="G26" s="29">
        <f>Data!J27</f>
        <v>3647</v>
      </c>
      <c r="H26" s="29">
        <f>Data!Q27</f>
        <v>1.17</v>
      </c>
      <c r="I26" s="29">
        <f>Data!R27</f>
        <v>1.0900000000000001</v>
      </c>
      <c r="J26" s="29">
        <f>Data!S27</f>
        <v>0.94</v>
      </c>
      <c r="K26" s="50">
        <f>Data!U27</f>
        <v>0.90200000000000002</v>
      </c>
    </row>
    <row r="27" spans="1:11">
      <c r="A27" s="68" t="str">
        <f>Data!A28</f>
        <v>CC6-C-8</v>
      </c>
      <c r="B27" s="29">
        <f>Data!B28</f>
        <v>238</v>
      </c>
      <c r="C27" s="29">
        <f>Data!C28</f>
        <v>4.54</v>
      </c>
      <c r="D27" s="29">
        <f>Data!D28</f>
        <v>507</v>
      </c>
      <c r="E27" s="35">
        <f>Data!E28</f>
        <v>77</v>
      </c>
      <c r="F27" s="29">
        <f>Data!F28</f>
        <v>714</v>
      </c>
      <c r="G27" s="29">
        <f>Data!J28</f>
        <v>5578</v>
      </c>
      <c r="H27" s="29">
        <f>Data!Q28</f>
        <v>1.27</v>
      </c>
      <c r="I27" s="29">
        <f>Data!R28</f>
        <v>1.1499999999999999</v>
      </c>
      <c r="J27" s="29">
        <f>Data!S28</f>
        <v>1.08</v>
      </c>
      <c r="K27" s="50">
        <f>Data!U28</f>
        <v>1.0249999999999999</v>
      </c>
    </row>
    <row r="28" spans="1:11">
      <c r="A28" s="68" t="str">
        <f>Data!A29</f>
        <v>CC6-D-2</v>
      </c>
      <c r="B28" s="29">
        <f>Data!B29</f>
        <v>361</v>
      </c>
      <c r="C28" s="29">
        <f>Data!C29</f>
        <v>4.54</v>
      </c>
      <c r="D28" s="29">
        <f>Data!D29</f>
        <v>525</v>
      </c>
      <c r="E28" s="35">
        <f>Data!E29</f>
        <v>35.4</v>
      </c>
      <c r="F28" s="29">
        <f>Data!F29</f>
        <v>1083</v>
      </c>
      <c r="G28" s="29">
        <f>Data!J29</f>
        <v>5633</v>
      </c>
      <c r="H28" s="29">
        <f>Data!Q29</f>
        <v>1.01</v>
      </c>
      <c r="I28" s="29">
        <f>Data!R29</f>
        <v>0.92</v>
      </c>
      <c r="J28" s="29">
        <f>Data!S29</f>
        <v>0.82</v>
      </c>
      <c r="K28" s="50">
        <f>Data!U29</f>
        <v>0.77800000000000002</v>
      </c>
    </row>
    <row r="29" spans="1:11">
      <c r="A29" s="68" t="str">
        <f>Data!A30</f>
        <v>CC6-D-4-1</v>
      </c>
      <c r="B29" s="29">
        <f>Data!B30</f>
        <v>361</v>
      </c>
      <c r="C29" s="29">
        <f>Data!C30</f>
        <v>4.54</v>
      </c>
      <c r="D29" s="29">
        <f>Data!D30</f>
        <v>525</v>
      </c>
      <c r="E29" s="35">
        <f>Data!E30</f>
        <v>41.1</v>
      </c>
      <c r="F29" s="29">
        <f>Data!F30</f>
        <v>1083</v>
      </c>
      <c r="G29" s="29">
        <f>Data!J30</f>
        <v>7260</v>
      </c>
      <c r="H29" s="29">
        <f>Data!Q30</f>
        <v>1.2</v>
      </c>
      <c r="I29" s="29">
        <f>Data!R30</f>
        <v>1.0900000000000001</v>
      </c>
      <c r="J29" s="29">
        <f>Data!S30</f>
        <v>0.99</v>
      </c>
      <c r="K29" s="50">
        <f>Data!U30</f>
        <v>0.93600000000000005</v>
      </c>
    </row>
    <row r="30" spans="1:11">
      <c r="A30" s="68" t="str">
        <f>Data!A31</f>
        <v>CC6-D-8</v>
      </c>
      <c r="B30" s="29">
        <f>Data!B31</f>
        <v>360</v>
      </c>
      <c r="C30" s="29">
        <f>Data!C31</f>
        <v>4.54</v>
      </c>
      <c r="D30" s="29">
        <f>Data!D31</f>
        <v>525</v>
      </c>
      <c r="E30" s="35">
        <f>Data!E31</f>
        <v>85.1</v>
      </c>
      <c r="F30" s="29">
        <f>Data!F31</f>
        <v>1080</v>
      </c>
      <c r="G30" s="29">
        <f>Data!J31</f>
        <v>11505</v>
      </c>
      <c r="H30" s="29">
        <f>Data!Q31</f>
        <v>1.19</v>
      </c>
      <c r="I30" s="29">
        <f>Data!R31</f>
        <v>1.06</v>
      </c>
      <c r="J30" s="29">
        <f>Data!S31</f>
        <v>1.05</v>
      </c>
      <c r="K30" s="50">
        <f>Data!U31</f>
        <v>0.97899999999999998</v>
      </c>
    </row>
    <row r="31" spans="1:11">
      <c r="A31" s="68"/>
      <c r="B31" s="29"/>
      <c r="C31" s="29"/>
      <c r="D31" s="29"/>
      <c r="E31" s="29"/>
      <c r="F31" s="29"/>
      <c r="G31" s="37" t="s">
        <v>199</v>
      </c>
      <c r="H31" s="38">
        <f>AVERAGE(H23:H30)</f>
        <v>1.13625</v>
      </c>
      <c r="I31" s="38">
        <f>AVERAGE(I23:I30)</f>
        <v>1.06125</v>
      </c>
      <c r="J31" s="38">
        <f>AVERAGE(J23:J30)</f>
        <v>0.98250000000000004</v>
      </c>
      <c r="K31" s="38">
        <f>AVERAGE(K23:K30)</f>
        <v>0.94675000000000009</v>
      </c>
    </row>
    <row r="32" spans="1:11">
      <c r="A32" s="67" t="str">
        <f>Data!A33</f>
        <v>Bai &amp; Li</v>
      </c>
      <c r="B32" s="67">
        <f>Data!B33</f>
        <v>2003</v>
      </c>
      <c r="C32" s="68" t="str">
        <f>Data!C33</f>
        <v>Ref. 103</v>
      </c>
      <c r="D32" s="29"/>
      <c r="E32" s="67" t="s">
        <v>49</v>
      </c>
      <c r="F32" s="29"/>
      <c r="G32" s="29" t="s">
        <v>198</v>
      </c>
      <c r="H32" s="36">
        <f>STDEV(H23:H30)</f>
        <v>9.3798796824449096E-2</v>
      </c>
      <c r="I32" s="36">
        <f>STDEV(I23:I30)</f>
        <v>6.7493385919341314E-2</v>
      </c>
      <c r="J32" s="36">
        <f>STDEV(J23:J30)</f>
        <v>8.9242846852202781E-2</v>
      </c>
      <c r="K32" s="36">
        <f>STDEV(K23:K30)</f>
        <v>9.4227308750094899E-2</v>
      </c>
    </row>
    <row r="33" spans="1:11">
      <c r="A33" s="68" t="str">
        <f>Data!A34</f>
        <v>GZSJ-1</v>
      </c>
      <c r="B33" s="29">
        <f>Data!B34</f>
        <v>164</v>
      </c>
      <c r="C33" s="29">
        <f>Data!C34</f>
        <v>3.8</v>
      </c>
      <c r="D33" s="29">
        <f>Data!D34</f>
        <v>342</v>
      </c>
      <c r="E33" s="29">
        <f>Data!E34</f>
        <v>24.2</v>
      </c>
      <c r="F33" s="29">
        <f>Data!F34</f>
        <v>520</v>
      </c>
      <c r="G33" s="29">
        <f>Data!J34</f>
        <v>1639</v>
      </c>
      <c r="H33" s="29">
        <f>Data!Q34</f>
        <v>1.56</v>
      </c>
      <c r="I33" s="29">
        <f>Data!R34</f>
        <v>1.46</v>
      </c>
      <c r="J33" s="29">
        <f>Data!S34</f>
        <v>1.21</v>
      </c>
      <c r="K33" s="50">
        <f>Data!U34</f>
        <v>1.1559999999999999</v>
      </c>
    </row>
    <row r="34" spans="1:11">
      <c r="A34" s="68" t="str">
        <f>Data!A35</f>
        <v>GZSJ-2</v>
      </c>
      <c r="B34" s="29">
        <f>Data!B35</f>
        <v>164</v>
      </c>
      <c r="C34" s="29">
        <f>Data!C35</f>
        <v>3.8</v>
      </c>
      <c r="D34" s="29">
        <f>Data!D35</f>
        <v>342</v>
      </c>
      <c r="E34" s="29">
        <f>Data!E35</f>
        <v>24.2</v>
      </c>
      <c r="F34" s="29">
        <f>Data!F35</f>
        <v>520</v>
      </c>
      <c r="G34" s="29">
        <f>Data!J35</f>
        <v>1639</v>
      </c>
      <c r="H34" s="29">
        <f>Data!Q35</f>
        <v>1.56</v>
      </c>
      <c r="I34" s="29">
        <f>Data!R35</f>
        <v>1.46</v>
      </c>
      <c r="J34" s="29">
        <f>Data!S35</f>
        <v>1.21</v>
      </c>
      <c r="K34" s="50">
        <f>Data!U35</f>
        <v>1.1559999999999999</v>
      </c>
    </row>
    <row r="35" spans="1:11">
      <c r="A35" s="68" t="str">
        <f>Data!A36</f>
        <v>GZSJ-3</v>
      </c>
      <c r="B35" s="29">
        <f>Data!B36</f>
        <v>164</v>
      </c>
      <c r="C35" s="29">
        <f>Data!C36</f>
        <v>3.8</v>
      </c>
      <c r="D35" s="29">
        <f>Data!D36</f>
        <v>342</v>
      </c>
      <c r="E35" s="29">
        <f>Data!E36</f>
        <v>24.2</v>
      </c>
      <c r="F35" s="29">
        <f>Data!F36</f>
        <v>520</v>
      </c>
      <c r="G35" s="29">
        <f>Data!J36</f>
        <v>1639</v>
      </c>
      <c r="H35" s="29">
        <f>Data!Q36</f>
        <v>1.56</v>
      </c>
      <c r="I35" s="29">
        <f>Data!R36</f>
        <v>1.46</v>
      </c>
      <c r="J35" s="29">
        <f>Data!S36</f>
        <v>1.21</v>
      </c>
      <c r="K35" s="50">
        <f>Data!U36</f>
        <v>1.1559999999999999</v>
      </c>
    </row>
    <row r="36" spans="1:11">
      <c r="A36" s="68" t="str">
        <f>Data!A37</f>
        <v>GZSJ-4</v>
      </c>
      <c r="B36" s="29">
        <f>Data!B37</f>
        <v>159</v>
      </c>
      <c r="C36" s="29">
        <f>Data!C37</f>
        <v>4.8</v>
      </c>
      <c r="D36" s="29">
        <f>Data!D37</f>
        <v>366</v>
      </c>
      <c r="E36" s="29">
        <f>Data!E37</f>
        <v>24.2</v>
      </c>
      <c r="F36" s="29">
        <f>Data!F37</f>
        <v>520</v>
      </c>
      <c r="G36" s="29">
        <f>Data!J37</f>
        <v>1907</v>
      </c>
      <c r="H36" s="29">
        <f>Data!Q37</f>
        <v>1.57</v>
      </c>
      <c r="I36" s="29">
        <f>Data!R37</f>
        <v>1.5</v>
      </c>
      <c r="J36" s="29">
        <f>Data!S37</f>
        <v>1.19</v>
      </c>
      <c r="K36" s="50">
        <f>Data!U37</f>
        <v>1.1639999999999999</v>
      </c>
    </row>
    <row r="37" spans="1:11">
      <c r="A37" s="68" t="str">
        <f>Data!A38</f>
        <v>GZSJ-5</v>
      </c>
      <c r="B37" s="29">
        <f>Data!B38</f>
        <v>159</v>
      </c>
      <c r="C37" s="29">
        <f>Data!C38</f>
        <v>4.8</v>
      </c>
      <c r="D37" s="29">
        <f>Data!D38</f>
        <v>366</v>
      </c>
      <c r="E37" s="29">
        <f>Data!E38</f>
        <v>24.2</v>
      </c>
      <c r="F37" s="29">
        <f>Data!F38</f>
        <v>520</v>
      </c>
      <c r="G37" s="29">
        <f>Data!J38</f>
        <v>1907</v>
      </c>
      <c r="H37" s="29">
        <f>Data!Q38</f>
        <v>1.57</v>
      </c>
      <c r="I37" s="29">
        <f>Data!R38</f>
        <v>1.5</v>
      </c>
      <c r="J37" s="29">
        <f>Data!S38</f>
        <v>1.19</v>
      </c>
      <c r="K37" s="50">
        <f>Data!U38</f>
        <v>1.1639999999999999</v>
      </c>
    </row>
    <row r="38" spans="1:11">
      <c r="A38" s="68" t="str">
        <f>Data!A39</f>
        <v>GZSJ-6</v>
      </c>
      <c r="B38" s="29">
        <f>Data!B39</f>
        <v>159</v>
      </c>
      <c r="C38" s="29">
        <f>Data!C39</f>
        <v>4.8</v>
      </c>
      <c r="D38" s="29">
        <f>Data!D39</f>
        <v>366</v>
      </c>
      <c r="E38" s="29">
        <f>Data!E39</f>
        <v>24.2</v>
      </c>
      <c r="F38" s="29">
        <f>Data!F39</f>
        <v>520</v>
      </c>
      <c r="G38" s="29">
        <f>Data!J39</f>
        <v>1907</v>
      </c>
      <c r="H38" s="29">
        <f>Data!Q39</f>
        <v>1.57</v>
      </c>
      <c r="I38" s="29">
        <f>Data!R39</f>
        <v>1.5</v>
      </c>
      <c r="J38" s="29">
        <f>Data!S39</f>
        <v>1.19</v>
      </c>
      <c r="K38" s="50">
        <f>Data!U39</f>
        <v>1.1639999999999999</v>
      </c>
    </row>
    <row r="39" spans="1:11">
      <c r="A39" s="68" t="str">
        <f>Data!A40</f>
        <v>GZSJ-7</v>
      </c>
      <c r="B39" s="29">
        <f>Data!B40</f>
        <v>159</v>
      </c>
      <c r="C39" s="29">
        <f>Data!C40</f>
        <v>5.2</v>
      </c>
      <c r="D39" s="29">
        <f>Data!D40</f>
        <v>379</v>
      </c>
      <c r="E39" s="29">
        <f>Data!E40</f>
        <v>24.2</v>
      </c>
      <c r="F39" s="29">
        <f>Data!F40</f>
        <v>520</v>
      </c>
      <c r="G39" s="29">
        <f>Data!J40</f>
        <v>2037</v>
      </c>
      <c r="H39" s="29">
        <f>Data!Q40</f>
        <v>1.56</v>
      </c>
      <c r="I39" s="29">
        <f>Data!R40</f>
        <v>1.48</v>
      </c>
      <c r="J39" s="29">
        <f>Data!S40</f>
        <v>1.17</v>
      </c>
      <c r="K39" s="50">
        <f>Data!U40</f>
        <v>1.151</v>
      </c>
    </row>
    <row r="40" spans="1:11">
      <c r="A40" s="68" t="str">
        <f>Data!A41</f>
        <v>GZSJ-8</v>
      </c>
      <c r="B40" s="29">
        <f>Data!B41</f>
        <v>159</v>
      </c>
      <c r="C40" s="29">
        <f>Data!C41</f>
        <v>5.2</v>
      </c>
      <c r="D40" s="29">
        <f>Data!D41</f>
        <v>379</v>
      </c>
      <c r="E40" s="29">
        <f>Data!E41</f>
        <v>24.2</v>
      </c>
      <c r="F40" s="29">
        <f>Data!F41</f>
        <v>520</v>
      </c>
      <c r="G40" s="29">
        <f>Data!J41</f>
        <v>2037</v>
      </c>
      <c r="H40" s="29">
        <f>Data!Q41</f>
        <v>1.56</v>
      </c>
      <c r="I40" s="29">
        <f>Data!R41</f>
        <v>1.48</v>
      </c>
      <c r="J40" s="29">
        <f>Data!S41</f>
        <v>1.17</v>
      </c>
      <c r="K40" s="50">
        <f>Data!U41</f>
        <v>1.151</v>
      </c>
    </row>
    <row r="41" spans="1:11">
      <c r="A41" s="68" t="str">
        <f>Data!A42</f>
        <v>GZSJ-9</v>
      </c>
      <c r="B41" s="29">
        <f>Data!B42</f>
        <v>159</v>
      </c>
      <c r="C41" s="29">
        <f>Data!C42</f>
        <v>5.2</v>
      </c>
      <c r="D41" s="29">
        <f>Data!D42</f>
        <v>379</v>
      </c>
      <c r="E41" s="29">
        <f>Data!E42</f>
        <v>24.2</v>
      </c>
      <c r="F41" s="29">
        <f>Data!F42</f>
        <v>520</v>
      </c>
      <c r="G41" s="29">
        <f>Data!J42</f>
        <v>2037</v>
      </c>
      <c r="H41" s="29">
        <f>Data!Q42</f>
        <v>1.56</v>
      </c>
      <c r="I41" s="29">
        <f>Data!R42</f>
        <v>1.48</v>
      </c>
      <c r="J41" s="29">
        <f>Data!S42</f>
        <v>1.17</v>
      </c>
      <c r="K41" s="50">
        <f>Data!U42</f>
        <v>1.151</v>
      </c>
    </row>
    <row r="42" spans="1:11">
      <c r="A42" s="68" t="str">
        <f>Data!A43</f>
        <v>GZSJ-10</v>
      </c>
      <c r="B42" s="29">
        <f>Data!B43</f>
        <v>159</v>
      </c>
      <c r="C42" s="29">
        <f>Data!C43</f>
        <v>6.3</v>
      </c>
      <c r="D42" s="29">
        <f>Data!D43</f>
        <v>360</v>
      </c>
      <c r="E42" s="29">
        <f>Data!E43</f>
        <v>24.2</v>
      </c>
      <c r="F42" s="29">
        <f>Data!F43</f>
        <v>520</v>
      </c>
      <c r="G42" s="29">
        <f>Data!J43</f>
        <v>2177</v>
      </c>
      <c r="H42" s="29">
        <f>Data!Q43</f>
        <v>1.52</v>
      </c>
      <c r="I42" s="29">
        <f>Data!R43</f>
        <v>1.46</v>
      </c>
      <c r="J42" s="29">
        <f>Data!S43</f>
        <v>1.1399999999999999</v>
      </c>
      <c r="K42" s="50">
        <f>Data!U43</f>
        <v>1.121</v>
      </c>
    </row>
    <row r="43" spans="1:11">
      <c r="A43" s="68" t="str">
        <f>Data!A44</f>
        <v>GZSJ-11</v>
      </c>
      <c r="B43" s="29">
        <f>Data!B44</f>
        <v>159</v>
      </c>
      <c r="C43" s="29">
        <f>Data!C44</f>
        <v>6.3</v>
      </c>
      <c r="D43" s="29">
        <f>Data!D44</f>
        <v>360</v>
      </c>
      <c r="E43" s="29">
        <f>Data!E44</f>
        <v>24.2</v>
      </c>
      <c r="F43" s="29">
        <f>Data!F44</f>
        <v>520</v>
      </c>
      <c r="G43" s="29">
        <f>Data!J44</f>
        <v>2177</v>
      </c>
      <c r="H43" s="29">
        <f>Data!Q44</f>
        <v>1.52</v>
      </c>
      <c r="I43" s="29">
        <f>Data!R44</f>
        <v>1.46</v>
      </c>
      <c r="J43" s="29">
        <f>Data!S44</f>
        <v>1.1399999999999999</v>
      </c>
      <c r="K43" s="50">
        <f>Data!U44</f>
        <v>1.121</v>
      </c>
    </row>
    <row r="44" spans="1:11">
      <c r="A44" s="68" t="str">
        <f>Data!A45</f>
        <v>GZSJ-12</v>
      </c>
      <c r="B44" s="29">
        <f>Data!B45</f>
        <v>159</v>
      </c>
      <c r="C44" s="29">
        <f>Data!C45</f>
        <v>6.3</v>
      </c>
      <c r="D44" s="29">
        <f>Data!D45</f>
        <v>360</v>
      </c>
      <c r="E44" s="29">
        <f>Data!E45</f>
        <v>24.2</v>
      </c>
      <c r="F44" s="29">
        <f>Data!F45</f>
        <v>520</v>
      </c>
      <c r="G44" s="29">
        <f>Data!J45</f>
        <v>2177</v>
      </c>
      <c r="H44" s="29">
        <f>Data!Q45</f>
        <v>1.52</v>
      </c>
      <c r="I44" s="29">
        <f>Data!R45</f>
        <v>1.46</v>
      </c>
      <c r="J44" s="29">
        <f>Data!S45</f>
        <v>1.1399999999999999</v>
      </c>
      <c r="K44" s="50">
        <f>Data!U45</f>
        <v>1.121</v>
      </c>
    </row>
    <row r="45" spans="1:11">
      <c r="A45" s="68"/>
      <c r="B45" s="29"/>
      <c r="C45" s="29"/>
      <c r="D45" s="29"/>
      <c r="E45" s="29"/>
      <c r="F45" s="29"/>
      <c r="G45" s="37" t="s">
        <v>200</v>
      </c>
      <c r="H45" s="38">
        <f>AVERAGE(H33:H44)</f>
        <v>1.5525000000000002</v>
      </c>
      <c r="I45" s="38">
        <f>AVERAGE(I33:I44)</f>
        <v>1.4750000000000003</v>
      </c>
      <c r="J45" s="38">
        <f>AVERAGE(J33:J44)</f>
        <v>1.1775</v>
      </c>
      <c r="K45" s="38">
        <f>AVERAGE(K33:K44)</f>
        <v>1.1479999999999999</v>
      </c>
    </row>
    <row r="46" spans="1:11">
      <c r="A46" s="68"/>
      <c r="B46" s="29"/>
      <c r="C46" s="29"/>
      <c r="D46" s="29"/>
      <c r="E46" s="29"/>
      <c r="F46" s="29"/>
      <c r="G46" s="29" t="s">
        <v>198</v>
      </c>
      <c r="H46" s="36">
        <f>STDEV(H33:H44)</f>
        <v>2.0056737702645665E-2</v>
      </c>
      <c r="I46" s="36">
        <f>STDEV(I33:I44)</f>
        <v>1.732050807568879E-2</v>
      </c>
      <c r="J46" s="36">
        <f>STDEV(J33:J44)</f>
        <v>2.7010099121355623E-2</v>
      </c>
      <c r="K46" s="36">
        <f>STDEV(K33:K44)</f>
        <v>1.698662575514789E-2</v>
      </c>
    </row>
    <row r="47" spans="1:11">
      <c r="A47" s="67" t="str">
        <f>Data!A47</f>
        <v>Zhang</v>
      </c>
      <c r="B47" s="67">
        <f>Data!B47</f>
        <v>2003</v>
      </c>
      <c r="C47" s="29"/>
      <c r="D47" s="29"/>
      <c r="E47" s="29"/>
      <c r="F47" s="29"/>
    </row>
    <row r="48" spans="1:11">
      <c r="A48" s="68" t="str">
        <f>Data!A48</f>
        <v>L-A-1-92h</v>
      </c>
      <c r="B48" s="29">
        <f>Data!B48</f>
        <v>167.4</v>
      </c>
      <c r="C48" s="29">
        <f>Data!C48</f>
        <v>3.32</v>
      </c>
      <c r="D48" s="29">
        <f>Data!D48</f>
        <v>354</v>
      </c>
      <c r="E48" s="35">
        <f>Data!E48</f>
        <v>40.6</v>
      </c>
      <c r="F48" s="29">
        <f>Data!F48</f>
        <v>503</v>
      </c>
      <c r="G48" s="29">
        <f>Data!J48</f>
        <v>1704</v>
      </c>
      <c r="H48" s="50">
        <f>Data!Q48</f>
        <v>1.3</v>
      </c>
      <c r="I48" s="50">
        <f>Data!R48</f>
        <v>1.19</v>
      </c>
      <c r="J48" s="50">
        <f>Data!S48</f>
        <v>1.07</v>
      </c>
      <c r="K48" s="50">
        <f>Data!U48</f>
        <v>1.0049999999999999</v>
      </c>
    </row>
    <row r="49" spans="1:11">
      <c r="A49" s="68" t="str">
        <f>Data!A49</f>
        <v>L-A-2-99h</v>
      </c>
      <c r="B49" s="29">
        <f>Data!B49</f>
        <v>167.3</v>
      </c>
      <c r="C49" s="29">
        <f>Data!C49</f>
        <v>3.35</v>
      </c>
      <c r="D49" s="29">
        <f>Data!D49</f>
        <v>354</v>
      </c>
      <c r="E49" s="35">
        <f>Data!E49</f>
        <v>40.6</v>
      </c>
      <c r="F49" s="29">
        <f>Data!F49</f>
        <v>502</v>
      </c>
      <c r="G49" s="29">
        <f>Data!J49</f>
        <v>1668</v>
      </c>
      <c r="H49" s="50">
        <f>Data!Q49</f>
        <v>1.27</v>
      </c>
      <c r="I49" s="50">
        <f>Data!R49</f>
        <v>1.1599999999999999</v>
      </c>
      <c r="J49" s="50">
        <f>Data!S49</f>
        <v>1.04</v>
      </c>
      <c r="K49" s="50">
        <f>Data!U49</f>
        <v>0.98099999999999998</v>
      </c>
    </row>
    <row r="50" spans="1:11">
      <c r="A50" s="68" t="str">
        <f>Data!A50</f>
        <v>L-A-3-98h</v>
      </c>
      <c r="B50" s="29">
        <f>Data!B50</f>
        <v>167.5</v>
      </c>
      <c r="C50" s="29">
        <f>Data!C50</f>
        <v>3.33</v>
      </c>
      <c r="D50" s="29">
        <f>Data!D50</f>
        <v>354</v>
      </c>
      <c r="E50" s="35">
        <f>Data!E50</f>
        <v>40.6</v>
      </c>
      <c r="F50" s="29">
        <f>Data!F50</f>
        <v>503</v>
      </c>
      <c r="G50" s="29">
        <f>Data!J50</f>
        <v>1700</v>
      </c>
      <c r="H50" s="50">
        <f>Data!Q50</f>
        <v>1.3</v>
      </c>
      <c r="I50" s="50">
        <f>Data!R50</f>
        <v>1.19</v>
      </c>
      <c r="J50" s="50">
        <f>Data!S50</f>
        <v>1.07</v>
      </c>
      <c r="K50" s="50">
        <f>Data!U50</f>
        <v>1.0009999999999999</v>
      </c>
    </row>
    <row r="51" spans="1:11">
      <c r="A51" s="68" t="str">
        <f>Data!A51</f>
        <v>L-B-1-85h</v>
      </c>
      <c r="B51" s="29">
        <f>Data!B51</f>
        <v>138.9</v>
      </c>
      <c r="C51" s="29">
        <f>Data!C51</f>
        <v>3.29</v>
      </c>
      <c r="D51" s="29">
        <f>Data!D51</f>
        <v>331.7</v>
      </c>
      <c r="E51" s="35">
        <f>Data!E51</f>
        <v>35.700000000000003</v>
      </c>
      <c r="F51" s="29">
        <f>Data!F51</f>
        <v>419</v>
      </c>
      <c r="G51" s="29">
        <f>Data!J51</f>
        <v>1140</v>
      </c>
      <c r="H51" s="50">
        <f>Data!Q51</f>
        <v>1.29</v>
      </c>
      <c r="I51" s="50">
        <f>Data!R51</f>
        <v>1.19</v>
      </c>
      <c r="J51" s="50">
        <f>Data!S51</f>
        <v>1.04</v>
      </c>
      <c r="K51" s="50">
        <f>Data!U51</f>
        <v>0.97899999999999998</v>
      </c>
    </row>
    <row r="52" spans="1:11">
      <c r="A52" s="68" t="str">
        <f>Data!A52</f>
        <v>L-B-2-88h</v>
      </c>
      <c r="B52" s="29">
        <f>Data!B52</f>
        <v>139</v>
      </c>
      <c r="C52" s="29">
        <f>Data!C52</f>
        <v>3.29</v>
      </c>
      <c r="D52" s="29">
        <f>Data!D52</f>
        <v>331.7</v>
      </c>
      <c r="E52" s="35">
        <f>Data!E52</f>
        <v>35.700000000000003</v>
      </c>
      <c r="F52" s="29">
        <f>Data!F52</f>
        <v>419</v>
      </c>
      <c r="G52" s="29">
        <f>Data!J52</f>
        <v>1220</v>
      </c>
      <c r="H52" s="50">
        <f>Data!Q52</f>
        <v>1.38</v>
      </c>
      <c r="I52" s="50">
        <f>Data!R52</f>
        <v>1.27</v>
      </c>
      <c r="J52" s="50">
        <f>Data!S52</f>
        <v>1.1100000000000001</v>
      </c>
      <c r="K52" s="50">
        <f>Data!U52</f>
        <v>1.0449999999999999</v>
      </c>
    </row>
    <row r="53" spans="1:11">
      <c r="A53" s="68" t="str">
        <f>Data!A53</f>
        <v>L-B-3-89h</v>
      </c>
      <c r="B53" s="29">
        <f>Data!B53</f>
        <v>139.5</v>
      </c>
      <c r="C53" s="29">
        <f>Data!C53</f>
        <v>3.37</v>
      </c>
      <c r="D53" s="29">
        <f>Data!D53</f>
        <v>331.7</v>
      </c>
      <c r="E53" s="35">
        <f>Data!E53</f>
        <v>35.700000000000003</v>
      </c>
      <c r="F53" s="29">
        <f>Data!F53</f>
        <v>419</v>
      </c>
      <c r="G53" s="29">
        <f>Data!J53</f>
        <v>1180</v>
      </c>
      <c r="H53" s="50">
        <f>Data!Q53</f>
        <v>1.31</v>
      </c>
      <c r="I53" s="50">
        <f>Data!R53</f>
        <v>1.21</v>
      </c>
      <c r="J53" s="50">
        <f>Data!S53</f>
        <v>1.05</v>
      </c>
      <c r="K53" s="50">
        <f>Data!U53</f>
        <v>0.99299999999999999</v>
      </c>
    </row>
    <row r="54" spans="1:11">
      <c r="A54" s="68" t="str">
        <f>Data!A54</f>
        <v>L-C-1-87h</v>
      </c>
      <c r="B54" s="29">
        <f>Data!B54</f>
        <v>139.9</v>
      </c>
      <c r="C54" s="29">
        <f>Data!C54</f>
        <v>3.58</v>
      </c>
      <c r="D54" s="29">
        <f>Data!D54</f>
        <v>325.3</v>
      </c>
      <c r="E54" s="35">
        <f>Data!E54</f>
        <v>35.700000000000003</v>
      </c>
      <c r="F54" s="29">
        <f>Data!F54</f>
        <v>416</v>
      </c>
      <c r="G54" s="29">
        <f>Data!J54</f>
        <v>1222</v>
      </c>
      <c r="H54" s="50">
        <f>Data!Q54</f>
        <v>1.33</v>
      </c>
      <c r="I54" s="50">
        <f>Data!R54</f>
        <v>1.23</v>
      </c>
      <c r="J54" s="50">
        <f>Data!S54</f>
        <v>1.06</v>
      </c>
      <c r="K54" s="50">
        <f>Data!U54</f>
        <v>1.002</v>
      </c>
    </row>
    <row r="55" spans="1:11">
      <c r="A55" s="68" t="str">
        <f>Data!A55</f>
        <v>L-C-2-101h</v>
      </c>
      <c r="B55" s="29">
        <f>Data!B55</f>
        <v>139.9</v>
      </c>
      <c r="C55" s="29">
        <f>Data!C55</f>
        <v>3.54</v>
      </c>
      <c r="D55" s="29">
        <f>Data!D55</f>
        <v>325.3</v>
      </c>
      <c r="E55" s="35">
        <f>Data!E55</f>
        <v>35.700000000000003</v>
      </c>
      <c r="F55" s="29">
        <f>Data!F55</f>
        <v>421</v>
      </c>
      <c r="G55" s="29">
        <f>Data!J55</f>
        <v>1242</v>
      </c>
      <c r="H55" s="50">
        <f>Data!Q55</f>
        <v>1.36</v>
      </c>
      <c r="I55" s="50">
        <f>Data!R55</f>
        <v>1.26</v>
      </c>
      <c r="J55" s="50">
        <f>Data!S55</f>
        <v>1.0900000000000001</v>
      </c>
      <c r="K55" s="50">
        <f>Data!U55</f>
        <v>1.026</v>
      </c>
    </row>
    <row r="56" spans="1:11">
      <c r="A56" s="68" t="str">
        <f>Data!A56</f>
        <v>L-C-3-30h</v>
      </c>
      <c r="B56" s="29">
        <f>Data!B56</f>
        <v>139.9</v>
      </c>
      <c r="C56" s="29">
        <f>Data!C56</f>
        <v>3.48</v>
      </c>
      <c r="D56" s="29">
        <f>Data!D56</f>
        <v>325.3</v>
      </c>
      <c r="E56" s="35">
        <f>Data!E56</f>
        <v>35.700000000000003</v>
      </c>
      <c r="F56" s="29">
        <f>Data!F56</f>
        <v>419</v>
      </c>
      <c r="G56" s="29">
        <f>Data!J56</f>
        <v>1300</v>
      </c>
      <c r="H56" s="50">
        <f>Data!Q56</f>
        <v>1.43</v>
      </c>
      <c r="I56" s="50">
        <f>Data!R56</f>
        <v>1.33</v>
      </c>
      <c r="J56" s="50">
        <f>Data!S56</f>
        <v>1.1499999999999999</v>
      </c>
      <c r="K56" s="50">
        <f>Data!U56</f>
        <v>1.0820000000000001</v>
      </c>
    </row>
    <row r="57" spans="1:11">
      <c r="A57" s="68" t="str">
        <f>Data!A57</f>
        <v>L-E-1-15h</v>
      </c>
      <c r="B57" s="29">
        <f>Data!B57</f>
        <v>133.4</v>
      </c>
      <c r="C57" s="29">
        <f>Data!C57</f>
        <v>5.21</v>
      </c>
      <c r="D57" s="29">
        <f>Data!D57</f>
        <v>351</v>
      </c>
      <c r="E57" s="35">
        <f>Data!E57</f>
        <v>37.200000000000003</v>
      </c>
      <c r="F57" s="29">
        <f>Data!F57</f>
        <v>396</v>
      </c>
      <c r="G57" s="29">
        <f>Data!J57</f>
        <v>1612</v>
      </c>
      <c r="H57" s="50">
        <f>Data!Q57</f>
        <v>1.45</v>
      </c>
      <c r="I57" s="50">
        <f>Data!R57</f>
        <v>1.37</v>
      </c>
      <c r="J57" s="50">
        <f>Data!S57</f>
        <v>1.1200000000000001</v>
      </c>
      <c r="K57" s="50">
        <f>Data!U57</f>
        <v>1.08</v>
      </c>
    </row>
    <row r="58" spans="1:11">
      <c r="A58" s="68" t="str">
        <f>Data!A58</f>
        <v>L-E-2-25h</v>
      </c>
      <c r="B58" s="29">
        <f>Data!B58</f>
        <v>133.19999999999999</v>
      </c>
      <c r="C58" s="29">
        <f>Data!C58</f>
        <v>5.0599999999999996</v>
      </c>
      <c r="D58" s="29">
        <f>Data!D58</f>
        <v>351</v>
      </c>
      <c r="E58" s="35">
        <f>Data!E58</f>
        <v>37.200000000000003</v>
      </c>
      <c r="F58" s="29">
        <f>Data!F58</f>
        <v>397</v>
      </c>
      <c r="G58" s="29">
        <f>Data!J58</f>
        <v>1580</v>
      </c>
      <c r="H58" s="50">
        <f>Data!Q58</f>
        <v>1.45</v>
      </c>
      <c r="I58" s="50">
        <f>Data!R58</f>
        <v>1.36</v>
      </c>
      <c r="J58" s="50">
        <f>Data!S58</f>
        <v>1.1200000000000001</v>
      </c>
      <c r="K58" s="50">
        <f>Data!U58</f>
        <v>1.079</v>
      </c>
    </row>
    <row r="59" spans="1:11">
      <c r="A59" s="68" t="str">
        <f>Data!A59</f>
        <v>L-E-3-13h</v>
      </c>
      <c r="B59" s="29">
        <f>Data!B59</f>
        <v>133.4</v>
      </c>
      <c r="C59" s="29">
        <f>Data!C59</f>
        <v>5.23</v>
      </c>
      <c r="D59" s="29">
        <f>Data!D59</f>
        <v>351</v>
      </c>
      <c r="E59" s="35">
        <f>Data!E59</f>
        <v>37.200000000000003</v>
      </c>
      <c r="F59" s="29">
        <f>Data!F59</f>
        <v>398</v>
      </c>
      <c r="G59" s="29">
        <f>Data!J59</f>
        <v>1640</v>
      </c>
      <c r="H59" s="50">
        <f>Data!Q59</f>
        <v>1.47</v>
      </c>
      <c r="I59" s="50">
        <f>Data!R59</f>
        <v>1.39</v>
      </c>
      <c r="J59" s="50">
        <f>Data!S59</f>
        <v>1.1399999999999999</v>
      </c>
      <c r="K59" s="50">
        <f>Data!U59</f>
        <v>1.097</v>
      </c>
    </row>
    <row r="60" spans="1:11">
      <c r="A60" s="68" t="str">
        <f>Data!A60</f>
        <v>M-A-1-97h</v>
      </c>
      <c r="B60" s="29">
        <f>Data!B60</f>
        <v>167</v>
      </c>
      <c r="C60" s="29">
        <f>Data!C60</f>
        <v>3.37</v>
      </c>
      <c r="D60" s="29">
        <f>Data!D60</f>
        <v>354</v>
      </c>
      <c r="E60" s="35">
        <f>Data!E60</f>
        <v>56.5</v>
      </c>
      <c r="F60" s="29">
        <f>Data!F60</f>
        <v>503</v>
      </c>
      <c r="G60" s="29">
        <f>Data!J60</f>
        <v>2075</v>
      </c>
      <c r="H60" s="50">
        <f>Data!Q60</f>
        <v>1.31</v>
      </c>
      <c r="I60" s="50">
        <f>Data!R60</f>
        <v>1.18</v>
      </c>
      <c r="J60" s="50">
        <f>Data!S60</f>
        <v>1.1100000000000001</v>
      </c>
      <c r="K60" s="50">
        <f>Data!U60</f>
        <v>1.0369999999999999</v>
      </c>
    </row>
    <row r="61" spans="1:11">
      <c r="A61" s="68" t="str">
        <f>Data!A61</f>
        <v>M-A-2-100h</v>
      </c>
      <c r="B61" s="29">
        <f>Data!B61</f>
        <v>167.1</v>
      </c>
      <c r="C61" s="29">
        <f>Data!C61</f>
        <v>3.33</v>
      </c>
      <c r="D61" s="29">
        <f>Data!D61</f>
        <v>354</v>
      </c>
      <c r="E61" s="35">
        <f>Data!E61</f>
        <v>56.5</v>
      </c>
      <c r="F61" s="29">
        <f>Data!F61</f>
        <v>503</v>
      </c>
      <c r="G61" s="29">
        <f>Data!J61</f>
        <v>2105</v>
      </c>
      <c r="H61" s="50">
        <f>Data!Q61</f>
        <v>1.33</v>
      </c>
      <c r="I61" s="50">
        <f>Data!R61</f>
        <v>1.2</v>
      </c>
      <c r="J61" s="50">
        <f>Data!S61</f>
        <v>1.1299999999999999</v>
      </c>
      <c r="K61" s="50">
        <f>Data!U61</f>
        <v>1.056</v>
      </c>
    </row>
    <row r="62" spans="1:11">
      <c r="A62" s="68" t="str">
        <f>Data!A62</f>
        <v>M-A-3-95h</v>
      </c>
      <c r="B62" s="29">
        <f>Data!B62</f>
        <v>167.8</v>
      </c>
      <c r="C62" s="29">
        <f>Data!C62</f>
        <v>3.33</v>
      </c>
      <c r="D62" s="29">
        <f>Data!D62</f>
        <v>354</v>
      </c>
      <c r="E62" s="35">
        <f>Data!E62</f>
        <v>56.5</v>
      </c>
      <c r="F62" s="29">
        <f>Data!F62</f>
        <v>504</v>
      </c>
      <c r="G62" s="29">
        <f>Data!J62</f>
        <v>2055</v>
      </c>
      <c r="H62" s="50">
        <f>Data!Q62</f>
        <v>1.29</v>
      </c>
      <c r="I62" s="50">
        <f>Data!R62</f>
        <v>1.17</v>
      </c>
      <c r="J62" s="50">
        <f>Data!S62</f>
        <v>1.1000000000000001</v>
      </c>
      <c r="K62" s="50">
        <f>Data!U62</f>
        <v>1.0229999999999999</v>
      </c>
    </row>
    <row r="63" spans="1:11">
      <c r="A63" s="68" t="str">
        <f>Data!A63</f>
        <v>M-B-1-20h</v>
      </c>
      <c r="B63" s="29">
        <f>Data!B63</f>
        <v>138.6</v>
      </c>
      <c r="C63" s="29">
        <f>Data!C63</f>
        <v>3.31</v>
      </c>
      <c r="D63" s="29">
        <f>Data!D63</f>
        <v>331.7</v>
      </c>
      <c r="E63" s="35">
        <f>Data!E63</f>
        <v>50</v>
      </c>
      <c r="F63" s="29">
        <f>Data!F63</f>
        <v>418</v>
      </c>
      <c r="G63" s="29">
        <f>Data!J63</f>
        <v>1490</v>
      </c>
      <c r="H63" s="50">
        <f>Data!Q63</f>
        <v>1.42</v>
      </c>
      <c r="I63" s="50">
        <f>Data!R63</f>
        <v>1.29</v>
      </c>
      <c r="J63" s="50">
        <f>Data!S63</f>
        <v>1.18</v>
      </c>
      <c r="K63" s="50">
        <f>Data!U63</f>
        <v>1.1060000000000001</v>
      </c>
    </row>
    <row r="64" spans="1:11">
      <c r="A64" s="68" t="str">
        <f>Data!A64</f>
        <v>M-B-2-26h</v>
      </c>
      <c r="B64" s="29">
        <f>Data!B64</f>
        <v>138.9</v>
      </c>
      <c r="C64" s="29">
        <f>Data!C64</f>
        <v>3.36</v>
      </c>
      <c r="D64" s="29">
        <f>Data!D64</f>
        <v>331.7</v>
      </c>
      <c r="E64" s="35">
        <f>Data!E64</f>
        <v>50</v>
      </c>
      <c r="F64" s="29">
        <f>Data!F64</f>
        <v>420</v>
      </c>
      <c r="G64" s="29">
        <f>Data!J64</f>
        <v>1520</v>
      </c>
      <c r="H64" s="50">
        <f>Data!Q64</f>
        <v>1.44</v>
      </c>
      <c r="I64" s="50">
        <f>Data!R64</f>
        <v>1.31</v>
      </c>
      <c r="J64" s="50">
        <f>Data!S64</f>
        <v>1.19</v>
      </c>
      <c r="K64" s="50">
        <f>Data!U64</f>
        <v>1.1180000000000001</v>
      </c>
    </row>
    <row r="65" spans="1:11">
      <c r="A65" s="68" t="str">
        <f>Data!A65</f>
        <v>M-B-3-90h</v>
      </c>
      <c r="B65" s="29">
        <f>Data!B65</f>
        <v>138.6</v>
      </c>
      <c r="C65" s="29">
        <f>Data!C65</f>
        <v>3.3</v>
      </c>
      <c r="D65" s="29">
        <f>Data!D65</f>
        <v>331.7</v>
      </c>
      <c r="E65" s="35">
        <f>Data!E65</f>
        <v>50</v>
      </c>
      <c r="F65" s="29">
        <f>Data!F65</f>
        <v>420</v>
      </c>
      <c r="G65" s="29">
        <f>Data!J65</f>
        <v>1500</v>
      </c>
      <c r="H65" s="50">
        <f>Data!Q65</f>
        <v>1.43</v>
      </c>
      <c r="I65" s="50">
        <f>Data!R65</f>
        <v>1.3</v>
      </c>
      <c r="J65" s="50">
        <f>Data!S65</f>
        <v>1.19</v>
      </c>
      <c r="K65" s="50">
        <f>Data!U65</f>
        <v>1.115</v>
      </c>
    </row>
    <row r="66" spans="1:11">
      <c r="A66" s="68" t="str">
        <f>Data!A66</f>
        <v>M-C-1-120h</v>
      </c>
      <c r="B66" s="29">
        <f>Data!B66</f>
        <v>140.30000000000001</v>
      </c>
      <c r="C66" s="29">
        <f>Data!C66</f>
        <v>3.62</v>
      </c>
      <c r="D66" s="29">
        <f>Data!D66</f>
        <v>325.3</v>
      </c>
      <c r="E66" s="35">
        <f>Data!E66</f>
        <v>49.1</v>
      </c>
      <c r="F66" s="29">
        <f>Data!F66</f>
        <v>418</v>
      </c>
      <c r="G66" s="29">
        <f>Data!J66</f>
        <v>1582</v>
      </c>
      <c r="H66" s="50">
        <f>Data!Q66</f>
        <v>1.46</v>
      </c>
      <c r="I66" s="50">
        <f>Data!R66</f>
        <v>1.33</v>
      </c>
      <c r="J66" s="50">
        <f>Data!S66</f>
        <v>1.2</v>
      </c>
      <c r="K66" s="50">
        <f>Data!U66</f>
        <v>1.1259999999999999</v>
      </c>
    </row>
    <row r="67" spans="1:11">
      <c r="A67" s="68" t="str">
        <f>Data!A67</f>
        <v>M-C-2-96h</v>
      </c>
      <c r="B67" s="29">
        <f>Data!B67</f>
        <v>140</v>
      </c>
      <c r="C67" s="29">
        <f>Data!C67</f>
        <v>3.6</v>
      </c>
      <c r="D67" s="29">
        <f>Data!D67</f>
        <v>325.3</v>
      </c>
      <c r="E67" s="35">
        <f>Data!E67</f>
        <v>49.1</v>
      </c>
      <c r="F67" s="29">
        <f>Data!F67</f>
        <v>418</v>
      </c>
      <c r="G67" s="29">
        <f>Data!J67</f>
        <v>1582</v>
      </c>
      <c r="H67" s="50">
        <f>Data!Q67</f>
        <v>1.46</v>
      </c>
      <c r="I67" s="50">
        <f>Data!R67</f>
        <v>1.34</v>
      </c>
      <c r="J67" s="50">
        <f>Data!S67</f>
        <v>1.21</v>
      </c>
      <c r="K67" s="50">
        <f>Data!U67</f>
        <v>1.1319999999999999</v>
      </c>
    </row>
    <row r="68" spans="1:11">
      <c r="A68" s="68" t="str">
        <f>Data!A68</f>
        <v>M-C-3-86h</v>
      </c>
      <c r="B68" s="29">
        <f>Data!B68</f>
        <v>139.69999999999999</v>
      </c>
      <c r="C68" s="29">
        <f>Data!C68</f>
        <v>3.61</v>
      </c>
      <c r="D68" s="29">
        <f>Data!D68</f>
        <v>325.3</v>
      </c>
      <c r="E68" s="35">
        <f>Data!E68</f>
        <v>49.1</v>
      </c>
      <c r="F68" s="29">
        <f>Data!F68</f>
        <v>420</v>
      </c>
      <c r="G68" s="29">
        <f>Data!J68</f>
        <v>1540</v>
      </c>
      <c r="H68" s="50">
        <f>Data!Q68</f>
        <v>1.43</v>
      </c>
      <c r="I68" s="50">
        <f>Data!R68</f>
        <v>1.31</v>
      </c>
      <c r="J68" s="50">
        <f>Data!S68</f>
        <v>1.18</v>
      </c>
      <c r="K68" s="50">
        <f>Data!U68</f>
        <v>1.1060000000000001</v>
      </c>
    </row>
    <row r="69" spans="1:11">
      <c r="A69" s="68" t="str">
        <f>Data!A69</f>
        <v>M-E-1-21h</v>
      </c>
      <c r="B69" s="29">
        <f>Data!B69</f>
        <v>133.4</v>
      </c>
      <c r="C69" s="29">
        <f>Data!C69</f>
        <v>5.17</v>
      </c>
      <c r="D69" s="29">
        <f>Data!D69</f>
        <v>351</v>
      </c>
      <c r="E69" s="35">
        <f>Data!E69</f>
        <v>56.5</v>
      </c>
      <c r="F69" s="29">
        <f>Data!F69</f>
        <v>396</v>
      </c>
      <c r="G69" s="29">
        <f>Data!J69</f>
        <v>1810</v>
      </c>
      <c r="H69" s="50">
        <f>Data!Q69</f>
        <v>1.39</v>
      </c>
      <c r="I69" s="50">
        <f>Data!R69</f>
        <v>1.29</v>
      </c>
      <c r="J69" s="50">
        <f>Data!S69</f>
        <v>1.1100000000000001</v>
      </c>
      <c r="K69" s="50">
        <f>Data!U69</f>
        <v>1.0669999999999999</v>
      </c>
    </row>
    <row r="70" spans="1:11">
      <c r="A70" s="68" t="str">
        <f>Data!A70</f>
        <v>M-E-2-27h</v>
      </c>
      <c r="B70" s="29">
        <f>Data!B70</f>
        <v>133.19999999999999</v>
      </c>
      <c r="C70" s="29">
        <f>Data!C70</f>
        <v>5.03</v>
      </c>
      <c r="D70" s="29">
        <f>Data!D70</f>
        <v>351</v>
      </c>
      <c r="E70" s="35">
        <f>Data!E70</f>
        <v>56.5</v>
      </c>
      <c r="F70" s="29">
        <f>Data!F70</f>
        <v>396</v>
      </c>
      <c r="G70" s="29">
        <f>Data!J70</f>
        <v>1770</v>
      </c>
      <c r="H70" s="50">
        <f>Data!Q70</f>
        <v>1.38</v>
      </c>
      <c r="I70" s="50">
        <f>Data!R70</f>
        <v>1.28</v>
      </c>
      <c r="J70" s="50">
        <f>Data!S70</f>
        <v>1.1100000000000001</v>
      </c>
      <c r="K70" s="50">
        <f>Data!U70</f>
        <v>1.06</v>
      </c>
    </row>
    <row r="71" spans="1:11">
      <c r="A71" s="68" t="str">
        <f>Data!A71</f>
        <v>M-E-3-23h</v>
      </c>
      <c r="B71" s="29">
        <f>Data!B71</f>
        <v>133.19999999999999</v>
      </c>
      <c r="C71" s="29">
        <f>Data!C71</f>
        <v>5.07</v>
      </c>
      <c r="D71" s="29">
        <f>Data!D71</f>
        <v>351</v>
      </c>
      <c r="E71" s="35">
        <f>Data!E71</f>
        <v>56.5</v>
      </c>
      <c r="F71" s="29">
        <f>Data!F71</f>
        <v>397</v>
      </c>
      <c r="G71" s="29">
        <f>Data!J71</f>
        <v>1835</v>
      </c>
      <c r="H71" s="50">
        <f>Data!Q71</f>
        <v>1.42</v>
      </c>
      <c r="I71" s="50">
        <f>Data!R71</f>
        <v>1.32</v>
      </c>
      <c r="J71" s="50">
        <f>Data!S71</f>
        <v>1.1399999999999999</v>
      </c>
      <c r="K71" s="50">
        <f>Data!U71</f>
        <v>1.0960000000000001</v>
      </c>
    </row>
    <row r="72" spans="1:11">
      <c r="A72" s="68" t="str">
        <f>Data!A72</f>
        <v>H-B-1-310h</v>
      </c>
      <c r="B72" s="29">
        <f>Data!B72</f>
        <v>138.9</v>
      </c>
      <c r="C72" s="29">
        <f>Data!C72</f>
        <v>3.28</v>
      </c>
      <c r="D72" s="29">
        <f>Data!D72</f>
        <v>331.7</v>
      </c>
      <c r="E72" s="35">
        <f>Data!E72</f>
        <v>61.7</v>
      </c>
      <c r="F72" s="29">
        <f>Data!F72</f>
        <v>420</v>
      </c>
      <c r="G72" s="29">
        <f>Data!J72</f>
        <v>1688</v>
      </c>
      <c r="H72" s="50">
        <f>Data!Q72</f>
        <v>1.42</v>
      </c>
      <c r="I72" s="50">
        <f>Data!R72</f>
        <v>1.29</v>
      </c>
      <c r="J72" s="50">
        <f>Data!S72</f>
        <v>1.21</v>
      </c>
      <c r="K72" s="50">
        <f>Data!U72</f>
        <v>1.1279999999999999</v>
      </c>
    </row>
    <row r="73" spans="1:11">
      <c r="A73" s="68" t="str">
        <f>Data!A73</f>
        <v>H-B-2-309h</v>
      </c>
      <c r="B73" s="29">
        <f>Data!B73</f>
        <v>138.69999999999999</v>
      </c>
      <c r="C73" s="29">
        <f>Data!C73</f>
        <v>3.28</v>
      </c>
      <c r="D73" s="29">
        <f>Data!D73</f>
        <v>331.7</v>
      </c>
      <c r="E73" s="35">
        <f>Data!E73</f>
        <v>61.7</v>
      </c>
      <c r="F73" s="29">
        <f>Data!F73</f>
        <v>418</v>
      </c>
      <c r="G73" s="29">
        <f>Data!J73</f>
        <v>1680</v>
      </c>
      <c r="H73" s="50">
        <f>Data!Q73</f>
        <v>1.42</v>
      </c>
      <c r="I73" s="50">
        <f>Data!R73</f>
        <v>1.28</v>
      </c>
      <c r="J73" s="50">
        <f>Data!S73</f>
        <v>1.2</v>
      </c>
      <c r="K73" s="50">
        <f>Data!U73</f>
        <v>1.1240000000000001</v>
      </c>
    </row>
    <row r="74" spans="1:11">
      <c r="A74" s="68" t="str">
        <f>Data!A74</f>
        <v>H-B-3-312h</v>
      </c>
      <c r="B74" s="29">
        <f>Data!B74</f>
        <v>139</v>
      </c>
      <c r="C74" s="29">
        <f>Data!C74</f>
        <v>3.29</v>
      </c>
      <c r="D74" s="29">
        <f>Data!D74</f>
        <v>331.7</v>
      </c>
      <c r="E74" s="35">
        <f>Data!E74</f>
        <v>61.7</v>
      </c>
      <c r="F74" s="29">
        <f>Data!F74</f>
        <v>418</v>
      </c>
      <c r="G74" s="29">
        <f>Data!J74</f>
        <v>1629</v>
      </c>
      <c r="H74" s="50">
        <f>Data!Q74</f>
        <v>1.37</v>
      </c>
      <c r="I74" s="50">
        <f>Data!R74</f>
        <v>1.24</v>
      </c>
      <c r="J74" s="50">
        <f>Data!S74</f>
        <v>1.1599999999999999</v>
      </c>
      <c r="K74" s="50">
        <f>Data!U74</f>
        <v>1.085</v>
      </c>
    </row>
    <row r="75" spans="1:11">
      <c r="A75" s="68" t="str">
        <f>Data!A75</f>
        <v>H-D-1-311h</v>
      </c>
      <c r="B75" s="29">
        <f>Data!B75</f>
        <v>159.30000000000001</v>
      </c>
      <c r="C75" s="29">
        <f>Data!C75</f>
        <v>5.36</v>
      </c>
      <c r="D75" s="29">
        <f>Data!D75</f>
        <v>356.3</v>
      </c>
      <c r="E75" s="35">
        <f>Data!E75</f>
        <v>61.7</v>
      </c>
      <c r="F75" s="29">
        <f>Data!F75</f>
        <v>477</v>
      </c>
      <c r="G75" s="29">
        <f>Data!J75</f>
        <v>2480</v>
      </c>
      <c r="H75" s="50">
        <f>Data!Q75</f>
        <v>1.35</v>
      </c>
      <c r="I75" s="50">
        <f>Data!R75</f>
        <v>1.24</v>
      </c>
      <c r="J75" s="50">
        <f>Data!S75</f>
        <v>1.1000000000000001</v>
      </c>
      <c r="K75" s="50">
        <f>Data!U75</f>
        <v>1.052</v>
      </c>
    </row>
    <row r="76" spans="1:11">
      <c r="A76" s="68" t="str">
        <f>Data!A76</f>
        <v>H-D-2-308h</v>
      </c>
      <c r="B76" s="29">
        <f>Data!B76</f>
        <v>160.19999999999999</v>
      </c>
      <c r="C76" s="29">
        <f>Data!C76</f>
        <v>5.01</v>
      </c>
      <c r="D76" s="29">
        <f>Data!D76</f>
        <v>356.3</v>
      </c>
      <c r="E76" s="35">
        <f>Data!E76</f>
        <v>61.7</v>
      </c>
      <c r="F76" s="29">
        <f>Data!F76</f>
        <v>476</v>
      </c>
      <c r="G76" s="29">
        <f>Data!J76</f>
        <v>2440</v>
      </c>
      <c r="H76" s="50">
        <f>Data!Q76</f>
        <v>1.36</v>
      </c>
      <c r="I76" s="50">
        <f>Data!R76</f>
        <v>1.24</v>
      </c>
      <c r="J76" s="50">
        <f>Data!S76</f>
        <v>1.1100000000000001</v>
      </c>
      <c r="K76" s="50">
        <f>Data!U76</f>
        <v>1.056</v>
      </c>
    </row>
    <row r="77" spans="1:11">
      <c r="A77" s="68" t="str">
        <f>Data!A77</f>
        <v>H-D-3-324h</v>
      </c>
      <c r="B77" s="29">
        <f>Data!B77</f>
        <v>159.30000000000001</v>
      </c>
      <c r="C77" s="29">
        <f>Data!C77</f>
        <v>5.07</v>
      </c>
      <c r="D77" s="29">
        <f>Data!D77</f>
        <v>356.3</v>
      </c>
      <c r="E77" s="35">
        <f>Data!E77</f>
        <v>61.7</v>
      </c>
      <c r="F77" s="29">
        <f>Data!F77</f>
        <v>478</v>
      </c>
      <c r="G77" s="29">
        <f>Data!J77</f>
        <v>2460</v>
      </c>
      <c r="H77" s="50">
        <f>Data!Q77</f>
        <v>1.37</v>
      </c>
      <c r="I77" s="50">
        <f>Data!R77</f>
        <v>1.26</v>
      </c>
      <c r="J77" s="50">
        <f>Data!S77</f>
        <v>1.1299999999999999</v>
      </c>
      <c r="K77" s="50">
        <f>Data!U77</f>
        <v>1.07</v>
      </c>
    </row>
    <row r="78" spans="1:11">
      <c r="A78" s="68" t="str">
        <f>Data!A78</f>
        <v>H-E-1-322h</v>
      </c>
      <c r="B78" s="29">
        <f>Data!B78</f>
        <v>133.30000000000001</v>
      </c>
      <c r="C78" s="29">
        <f>Data!C78</f>
        <v>5.0999999999999996</v>
      </c>
      <c r="D78" s="29">
        <f>Data!D78</f>
        <v>351</v>
      </c>
      <c r="E78" s="35">
        <f>Data!E78</f>
        <v>61.7</v>
      </c>
      <c r="F78" s="29">
        <f>Data!F78</f>
        <v>396</v>
      </c>
      <c r="G78" s="29">
        <f>Data!J78</f>
        <v>1930</v>
      </c>
      <c r="H78" s="50">
        <f>Data!Q78</f>
        <v>1.43</v>
      </c>
      <c r="I78" s="50">
        <f>Data!R78</f>
        <v>1.33</v>
      </c>
      <c r="J78" s="50">
        <f>Data!S78</f>
        <v>1.1599999999999999</v>
      </c>
      <c r="K78" s="50">
        <f>Data!U78</f>
        <v>1.109</v>
      </c>
    </row>
    <row r="79" spans="1:11">
      <c r="A79" s="68" t="str">
        <f>Data!A79</f>
        <v>H-E-2-306h</v>
      </c>
      <c r="B79" s="29">
        <f>Data!B79</f>
        <v>133.4</v>
      </c>
      <c r="C79" s="29">
        <f>Data!C79</f>
        <v>5.2</v>
      </c>
      <c r="D79" s="29">
        <f>Data!D79</f>
        <v>351</v>
      </c>
      <c r="E79" s="35">
        <f>Data!E79</f>
        <v>61.7</v>
      </c>
      <c r="F79" s="29">
        <f>Data!F79</f>
        <v>396</v>
      </c>
      <c r="G79" s="29">
        <f>Data!J79</f>
        <v>1955</v>
      </c>
      <c r="H79" s="50">
        <f>Data!Q79</f>
        <v>1.44</v>
      </c>
      <c r="I79" s="50">
        <f>Data!R79</f>
        <v>1.33</v>
      </c>
      <c r="J79" s="50">
        <f>Data!S79</f>
        <v>1.1599999999999999</v>
      </c>
      <c r="K79" s="50">
        <f>Data!U79</f>
        <v>1.1120000000000001</v>
      </c>
    </row>
    <row r="80" spans="1:11">
      <c r="A80" s="68" t="str">
        <f>Data!A80</f>
        <v>H-E-3-323h</v>
      </c>
      <c r="B80" s="29">
        <f>Data!B80</f>
        <v>133.1</v>
      </c>
      <c r="C80" s="29">
        <f>Data!C80</f>
        <v>5.04</v>
      </c>
      <c r="D80" s="29">
        <f>Data!D80</f>
        <v>351</v>
      </c>
      <c r="E80" s="35">
        <f>Data!E80</f>
        <v>61.7</v>
      </c>
      <c r="F80" s="29">
        <f>Data!F80</f>
        <v>397</v>
      </c>
      <c r="G80" s="29">
        <f>Data!J80</f>
        <v>1955</v>
      </c>
      <c r="H80" s="50">
        <f>Data!Q80</f>
        <v>1.46</v>
      </c>
      <c r="I80" s="50">
        <f>Data!R80</f>
        <v>1.35</v>
      </c>
      <c r="J80" s="50">
        <f>Data!S80</f>
        <v>1.19</v>
      </c>
      <c r="K80" s="50">
        <f>Data!U80</f>
        <v>1.133</v>
      </c>
    </row>
    <row r="81" spans="1:11">
      <c r="A81" s="68" t="str">
        <f>Data!A81</f>
        <v>H-F-1-307h</v>
      </c>
      <c r="B81" s="29">
        <f>Data!B81</f>
        <v>133.30000000000001</v>
      </c>
      <c r="C81" s="29">
        <f>Data!C81</f>
        <v>5.43</v>
      </c>
      <c r="D81" s="29">
        <f>Data!D81</f>
        <v>392</v>
      </c>
      <c r="E81" s="35">
        <f>Data!E81</f>
        <v>61.7</v>
      </c>
      <c r="F81" s="29">
        <f>Data!F81</f>
        <v>397</v>
      </c>
      <c r="G81" s="29">
        <f>Data!J81</f>
        <v>1820</v>
      </c>
      <c r="H81" s="50">
        <f>Data!Q81</f>
        <v>1.24</v>
      </c>
      <c r="I81" s="50">
        <f>Data!R81</f>
        <v>1.1499999999999999</v>
      </c>
      <c r="J81" s="50">
        <f>Data!S81</f>
        <v>0.99</v>
      </c>
      <c r="K81" s="50">
        <f>Data!U81</f>
        <v>0.95399999999999996</v>
      </c>
    </row>
    <row r="82" spans="1:11">
      <c r="A82" s="68" t="str">
        <f>Data!A82</f>
        <v>H-F-2-313h</v>
      </c>
      <c r="B82" s="29">
        <f>Data!B82</f>
        <v>133.1</v>
      </c>
      <c r="C82" s="29">
        <f>Data!C82</f>
        <v>5.44</v>
      </c>
      <c r="D82" s="29">
        <f>Data!D82</f>
        <v>392</v>
      </c>
      <c r="E82" s="35">
        <f>Data!E82</f>
        <v>61.7</v>
      </c>
      <c r="F82" s="29">
        <f>Data!F82</f>
        <v>397</v>
      </c>
      <c r="G82" s="29">
        <f>Data!J82</f>
        <v>1915</v>
      </c>
      <c r="H82" s="50">
        <f>Data!Q82</f>
        <v>1.3</v>
      </c>
      <c r="I82" s="50">
        <f>Data!R82</f>
        <v>1.21</v>
      </c>
      <c r="J82" s="50">
        <f>Data!S82</f>
        <v>1.04</v>
      </c>
      <c r="K82" s="50">
        <f>Data!U82</f>
        <v>1.006</v>
      </c>
    </row>
    <row r="83" spans="1:11">
      <c r="A83" s="68" t="str">
        <f>Data!A83</f>
        <v>H-F-3-314h</v>
      </c>
      <c r="B83" s="29">
        <f>Data!B83</f>
        <v>133.1</v>
      </c>
      <c r="C83" s="29">
        <f>Data!C83</f>
        <v>5.43</v>
      </c>
      <c r="D83" s="29">
        <f>Data!D83</f>
        <v>392</v>
      </c>
      <c r="E83" s="35">
        <f>Data!E83</f>
        <v>61.7</v>
      </c>
      <c r="F83" s="29">
        <f>Data!F83</f>
        <v>397</v>
      </c>
      <c r="G83" s="29">
        <f>Data!J83</f>
        <v>1930</v>
      </c>
      <c r="H83" s="50">
        <f>Data!Q83</f>
        <v>1.31</v>
      </c>
      <c r="I83" s="50">
        <f>Data!R83</f>
        <v>1.22</v>
      </c>
      <c r="J83" s="50">
        <f>Data!S83</f>
        <v>1.05</v>
      </c>
      <c r="K83" s="50">
        <f>Data!U83</f>
        <v>1.014</v>
      </c>
    </row>
    <row r="84" spans="1:11">
      <c r="A84" s="68"/>
      <c r="B84" s="29"/>
      <c r="C84" s="29"/>
      <c r="D84" s="29"/>
      <c r="E84" s="29"/>
      <c r="G84" s="37" t="s">
        <v>201</v>
      </c>
      <c r="H84" s="38">
        <f>AVERAGE(H48:H83)</f>
        <v>1.3769444444444445</v>
      </c>
      <c r="I84" s="38">
        <f>AVERAGE(I48:I83)</f>
        <v>1.2669444444444442</v>
      </c>
      <c r="J84" s="38">
        <f>AVERAGE(J48:J83)</f>
        <v>1.1224999999999998</v>
      </c>
      <c r="K84" s="38">
        <f>AVERAGE(K48:K83)</f>
        <v>1.0626388888888891</v>
      </c>
    </row>
    <row r="85" spans="1:11">
      <c r="D85" s="29"/>
      <c r="E85" s="29"/>
      <c r="F85" s="68"/>
      <c r="G85" s="29" t="s">
        <v>198</v>
      </c>
      <c r="H85" s="36">
        <f>STDEV(H48:H83)</f>
        <v>6.5282657703446711E-2</v>
      </c>
      <c r="I85" s="36">
        <f>STDEV(I48:I83)</f>
        <v>6.5195067492846662E-2</v>
      </c>
      <c r="J85" s="36">
        <f>STDEV(J48:J83)</f>
        <v>5.7090154267489153E-2</v>
      </c>
      <c r="K85" s="36">
        <f>STDEV(K48:K83)</f>
        <v>5.0864611766519276E-2</v>
      </c>
    </row>
    <row r="86" spans="1:11">
      <c r="A86" s="67" t="s">
        <v>127</v>
      </c>
      <c r="B86" s="67">
        <v>2004</v>
      </c>
      <c r="C86" s="68" t="s">
        <v>128</v>
      </c>
      <c r="D86" s="29"/>
      <c r="E86" s="29"/>
      <c r="F86" s="68" t="str">
        <f>Data!F85</f>
        <v>assumed</v>
      </c>
      <c r="G86" s="54" t="s">
        <v>202</v>
      </c>
      <c r="H86" s="36"/>
      <c r="I86" s="36"/>
      <c r="J86" s="36"/>
      <c r="K86" s="36"/>
    </row>
    <row r="87" spans="1:11">
      <c r="A87" s="68" t="str">
        <f>Data!A86</f>
        <v>CC4-A-2</v>
      </c>
      <c r="B87" s="29">
        <f>Data!B86</f>
        <v>149</v>
      </c>
      <c r="C87" s="50">
        <f>Data!C86</f>
        <v>2.96</v>
      </c>
      <c r="D87" s="29">
        <f>Data!D86</f>
        <v>308</v>
      </c>
      <c r="E87" s="29">
        <f>Data!E86</f>
        <v>25.4</v>
      </c>
      <c r="F87" s="29">
        <f>Data!F86</f>
        <v>447</v>
      </c>
      <c r="G87" s="29">
        <f>Data!J86</f>
        <v>941</v>
      </c>
      <c r="H87" s="29">
        <f>Data!Q86</f>
        <v>1.23</v>
      </c>
      <c r="I87" s="29">
        <f>Data!R86</f>
        <v>1.1399999999999999</v>
      </c>
      <c r="J87" s="29">
        <f>Data!S86</f>
        <v>0.98</v>
      </c>
      <c r="K87" s="50">
        <f>Data!U86</f>
        <v>0.91300000000000003</v>
      </c>
    </row>
    <row r="88" spans="1:11">
      <c r="A88" s="68" t="str">
        <f>Data!A87</f>
        <v>CC4-A-4-1</v>
      </c>
      <c r="B88" s="29">
        <f>Data!B87</f>
        <v>149</v>
      </c>
      <c r="C88" s="50">
        <f>Data!C87</f>
        <v>2.96</v>
      </c>
      <c r="D88" s="29">
        <f>Data!D87</f>
        <v>308</v>
      </c>
      <c r="E88" s="29">
        <f>Data!E87</f>
        <v>40.5</v>
      </c>
      <c r="F88" s="29">
        <f>Data!F87</f>
        <v>447</v>
      </c>
      <c r="G88" s="29">
        <f>Data!J87</f>
        <v>1064</v>
      </c>
      <c r="H88" s="29">
        <f>Data!Q87</f>
        <v>1.0900000000000001</v>
      </c>
      <c r="I88" s="29">
        <f>Data!R87</f>
        <v>1</v>
      </c>
      <c r="J88" s="29">
        <f>Data!S87</f>
        <v>0.91</v>
      </c>
      <c r="K88" s="50">
        <f>Data!U87</f>
        <v>0.84599999999999997</v>
      </c>
    </row>
    <row r="89" spans="1:11">
      <c r="A89" s="68" t="str">
        <f>Data!A88</f>
        <v>CC4-A-4-2</v>
      </c>
      <c r="B89" s="29">
        <f>Data!B88</f>
        <v>149</v>
      </c>
      <c r="C89" s="50">
        <f>Data!C88</f>
        <v>2.96</v>
      </c>
      <c r="D89" s="29">
        <f>Data!D88</f>
        <v>308</v>
      </c>
      <c r="E89" s="29">
        <f>Data!E88</f>
        <v>40.5</v>
      </c>
      <c r="F89" s="29">
        <f>Data!F88</f>
        <v>447</v>
      </c>
      <c r="G89" s="29">
        <f>Data!J88</f>
        <v>1080</v>
      </c>
      <c r="H89" s="29">
        <f>Data!Q88</f>
        <v>1.1100000000000001</v>
      </c>
      <c r="I89" s="29">
        <f>Data!R88</f>
        <v>1.01</v>
      </c>
      <c r="J89" s="29">
        <f>Data!S88</f>
        <v>0.92</v>
      </c>
      <c r="K89" s="50">
        <f>Data!U88</f>
        <v>0.85899999999999999</v>
      </c>
    </row>
    <row r="90" spans="1:11">
      <c r="A90" s="68" t="str">
        <f>Data!A89</f>
        <v>CC4-A-8</v>
      </c>
      <c r="B90" s="29">
        <f>Data!B89</f>
        <v>149</v>
      </c>
      <c r="C90" s="50">
        <f>Data!C89</f>
        <v>2.96</v>
      </c>
      <c r="D90" s="29">
        <f>Data!D89</f>
        <v>308</v>
      </c>
      <c r="E90" s="29">
        <f>Data!E89</f>
        <v>77</v>
      </c>
      <c r="F90" s="29">
        <f>Data!F89</f>
        <v>447</v>
      </c>
      <c r="G90" s="29">
        <f>Data!J89</f>
        <v>1781</v>
      </c>
      <c r="H90" s="29">
        <f>Data!Q89</f>
        <v>1.21</v>
      </c>
      <c r="I90" s="29">
        <f>Data!R89</f>
        <v>1.08</v>
      </c>
      <c r="J90" s="29">
        <f>Data!S89</f>
        <v>1.07</v>
      </c>
      <c r="K90" s="50">
        <f>Data!U89</f>
        <v>0.98199999999999998</v>
      </c>
    </row>
    <row r="91" spans="1:11">
      <c r="A91" s="68" t="str">
        <f>Data!A90</f>
        <v>CC4-C-2</v>
      </c>
      <c r="B91" s="29">
        <f>Data!B90</f>
        <v>301</v>
      </c>
      <c r="C91" s="50">
        <f>Data!C90</f>
        <v>2.96</v>
      </c>
      <c r="D91" s="29">
        <f>Data!D90</f>
        <v>279</v>
      </c>
      <c r="E91" s="29">
        <f>Data!E90</f>
        <v>25.4</v>
      </c>
      <c r="F91" s="29">
        <f>Data!F90</f>
        <v>903</v>
      </c>
      <c r="G91" s="29">
        <f>Data!J90</f>
        <v>2382</v>
      </c>
      <c r="H91" s="29">
        <f>Data!Q90</f>
        <v>1.06</v>
      </c>
      <c r="I91" s="29">
        <f>Data!R90</f>
        <v>0.95</v>
      </c>
      <c r="J91" s="29">
        <f>Data!S90</f>
        <v>0.91</v>
      </c>
      <c r="K91" s="50">
        <f>Data!U90</f>
        <v>0.82199999999999995</v>
      </c>
    </row>
    <row r="92" spans="1:11">
      <c r="A92" s="68" t="str">
        <f>Data!A91</f>
        <v>CC4-C-4-1</v>
      </c>
      <c r="B92" s="29">
        <f>Data!B91</f>
        <v>300</v>
      </c>
      <c r="C92" s="50">
        <f>Data!C91</f>
        <v>2.96</v>
      </c>
      <c r="D92" s="29">
        <f>Data!D91</f>
        <v>279</v>
      </c>
      <c r="E92" s="29">
        <f>Data!E91</f>
        <v>41.1</v>
      </c>
      <c r="F92" s="29">
        <f>Data!F91</f>
        <v>900</v>
      </c>
      <c r="G92" s="29">
        <f>Data!J91</f>
        <v>3277</v>
      </c>
      <c r="H92" s="29">
        <f>Data!Q91</f>
        <v>1.04</v>
      </c>
      <c r="I92" s="29">
        <f>Data!R91</f>
        <v>0.92</v>
      </c>
      <c r="J92" s="29">
        <f>Data!S91</f>
        <v>0.93</v>
      </c>
      <c r="K92" s="50">
        <f>Data!U91</f>
        <v>0.83899999999999997</v>
      </c>
    </row>
    <row r="93" spans="1:11">
      <c r="A93" s="68" t="str">
        <f>Data!A92</f>
        <v>CC4-C-4-2</v>
      </c>
      <c r="B93" s="29">
        <f>Data!B92</f>
        <v>300</v>
      </c>
      <c r="C93" s="50">
        <f>Data!C92</f>
        <v>2.96</v>
      </c>
      <c r="D93" s="29">
        <f>Data!D92</f>
        <v>279</v>
      </c>
      <c r="E93" s="29">
        <f>Data!E92</f>
        <v>41.1</v>
      </c>
      <c r="F93" s="29">
        <f>Data!F92</f>
        <v>900</v>
      </c>
      <c r="G93" s="29">
        <f>Data!J92</f>
        <v>3152</v>
      </c>
      <c r="H93" s="29">
        <f>Data!Q92</f>
        <v>1</v>
      </c>
      <c r="I93" s="29">
        <f>Data!R92</f>
        <v>0.88</v>
      </c>
      <c r="J93" s="29">
        <f>Data!S92</f>
        <v>0.9</v>
      </c>
      <c r="K93" s="50">
        <f>Data!U92</f>
        <v>0.80700000000000005</v>
      </c>
    </row>
    <row r="94" spans="1:11">
      <c r="A94" s="68" t="str">
        <f>Data!A93</f>
        <v>CC4-C-8</v>
      </c>
      <c r="B94" s="29">
        <f>Data!B93</f>
        <v>301</v>
      </c>
      <c r="C94" s="50">
        <f>Data!C93</f>
        <v>2.96</v>
      </c>
      <c r="D94" s="29">
        <f>Data!D93</f>
        <v>279</v>
      </c>
      <c r="E94" s="29">
        <f>Data!E93</f>
        <v>80.3</v>
      </c>
      <c r="F94" s="29">
        <f>Data!F93</f>
        <v>903</v>
      </c>
      <c r="G94" s="29">
        <f>Data!J93</f>
        <v>5540</v>
      </c>
      <c r="H94" s="29">
        <f>Data!Q93</f>
        <v>1.02</v>
      </c>
      <c r="I94" s="29">
        <f>Data!R93</f>
        <v>0.88</v>
      </c>
      <c r="J94" s="29">
        <f>Data!S93</f>
        <v>0.95</v>
      </c>
      <c r="K94" s="50">
        <f>Data!U93</f>
        <v>0.84799999999999998</v>
      </c>
    </row>
    <row r="95" spans="1:11">
      <c r="A95" s="68" t="str">
        <f>Data!A94</f>
        <v>CC4-D-2</v>
      </c>
      <c r="B95" s="29">
        <f>Data!B94</f>
        <v>450</v>
      </c>
      <c r="C95" s="50">
        <f>Data!C94</f>
        <v>2.96</v>
      </c>
      <c r="D95" s="29">
        <f>Data!D94</f>
        <v>279</v>
      </c>
      <c r="E95" s="29">
        <f>Data!E94</f>
        <v>25.4</v>
      </c>
      <c r="F95" s="29">
        <f>Data!F94</f>
        <v>1350</v>
      </c>
      <c r="G95" s="29">
        <f>Data!J94</f>
        <v>4415</v>
      </c>
      <c r="H95" s="29">
        <f>Data!Q94</f>
        <v>0.98</v>
      </c>
      <c r="I95" s="29">
        <f>Data!R94</f>
        <v>0.87</v>
      </c>
      <c r="J95" s="29">
        <f>Data!S94</f>
        <v>0.87</v>
      </c>
      <c r="K95" s="50">
        <f>Data!U94</f>
        <v>0.77900000000000003</v>
      </c>
    </row>
    <row r="96" spans="1:11">
      <c r="A96" s="68" t="str">
        <f>Data!A95</f>
        <v>CC4-D-4-1</v>
      </c>
      <c r="B96" s="29">
        <f>Data!B95</f>
        <v>450</v>
      </c>
      <c r="C96" s="50">
        <f>Data!C95</f>
        <v>2.96</v>
      </c>
      <c r="D96" s="29">
        <f>Data!D95</f>
        <v>279</v>
      </c>
      <c r="E96" s="29">
        <f>Data!E95</f>
        <v>41.1</v>
      </c>
      <c r="F96" s="29">
        <f>Data!F95</f>
        <v>1350</v>
      </c>
      <c r="G96" s="29">
        <f>Data!J95</f>
        <v>6870</v>
      </c>
      <c r="H96" s="29">
        <f>Data!Q95</f>
        <v>1.05</v>
      </c>
      <c r="I96" s="29">
        <f>Data!R95</f>
        <v>0.91</v>
      </c>
      <c r="J96" s="29">
        <f>Data!S95</f>
        <v>0.96</v>
      </c>
      <c r="K96" s="50">
        <f>Data!U95</f>
        <v>0.85499999999999998</v>
      </c>
    </row>
    <row r="97" spans="1:11">
      <c r="A97" s="68" t="str">
        <f>Data!A96</f>
        <v>CC4-D-4-2</v>
      </c>
      <c r="B97" s="29">
        <f>Data!B96</f>
        <v>450</v>
      </c>
      <c r="C97" s="50">
        <f>Data!C96</f>
        <v>2.96</v>
      </c>
      <c r="D97" s="29">
        <f>Data!D96</f>
        <v>279</v>
      </c>
      <c r="E97" s="29">
        <f>Data!E96</f>
        <v>41.1</v>
      </c>
      <c r="F97" s="29">
        <f>Data!F96</f>
        <v>1350</v>
      </c>
      <c r="G97" s="29">
        <f>Data!J96</f>
        <v>6985</v>
      </c>
      <c r="H97" s="29">
        <f>Data!Q96</f>
        <v>1.06</v>
      </c>
      <c r="I97" s="29">
        <f>Data!R96</f>
        <v>0.93</v>
      </c>
      <c r="J97" s="29">
        <f>Data!S96</f>
        <v>0.98</v>
      </c>
      <c r="K97" s="50">
        <f>Data!U96</f>
        <v>0.87</v>
      </c>
    </row>
    <row r="98" spans="1:11">
      <c r="A98" s="68" t="str">
        <f>Data!A97</f>
        <v>CC4-D-8</v>
      </c>
      <c r="B98" s="29">
        <f>Data!B97</f>
        <v>450</v>
      </c>
      <c r="C98" s="50">
        <f>Data!C97</f>
        <v>2.96</v>
      </c>
      <c r="D98" s="29">
        <f>Data!D97</f>
        <v>279</v>
      </c>
      <c r="E98" s="29">
        <f>Data!E97</f>
        <v>85.1</v>
      </c>
      <c r="F98" s="29">
        <f>Data!F97</f>
        <v>1350</v>
      </c>
      <c r="G98" s="29">
        <f>Data!J97</f>
        <v>11665</v>
      </c>
      <c r="H98" s="29">
        <f>Data!Q97</f>
        <v>0.94</v>
      </c>
      <c r="I98" s="29">
        <f>Data!R97</f>
        <v>0.81</v>
      </c>
      <c r="J98" s="29">
        <f>Data!S97</f>
        <v>0.9</v>
      </c>
      <c r="K98" s="50">
        <f>Data!U97</f>
        <v>0.79300000000000004</v>
      </c>
    </row>
    <row r="99" spans="1:11">
      <c r="A99" s="68" t="str">
        <f>Data!A98</f>
        <v>CC6-A-2</v>
      </c>
      <c r="B99" s="29">
        <f>Data!B98</f>
        <v>122</v>
      </c>
      <c r="C99" s="50">
        <f>Data!C98</f>
        <v>4.54</v>
      </c>
      <c r="D99" s="29">
        <f>Data!D98</f>
        <v>576</v>
      </c>
      <c r="E99" s="29">
        <f>Data!E98</f>
        <v>25.4</v>
      </c>
      <c r="F99" s="29">
        <f>Data!F98</f>
        <v>366</v>
      </c>
      <c r="G99" s="29">
        <f>Data!J98</f>
        <v>1509</v>
      </c>
      <c r="H99" s="29">
        <f>Data!Q98</f>
        <v>1.28</v>
      </c>
      <c r="I99" s="29">
        <f>Data!R98</f>
        <v>1.24</v>
      </c>
      <c r="J99" s="29">
        <f>Data!S98</f>
        <v>0.94</v>
      </c>
      <c r="K99" s="50">
        <f>Data!U98</f>
        <v>0.95099999999999996</v>
      </c>
    </row>
    <row r="100" spans="1:11">
      <c r="A100" s="68" t="str">
        <f>Data!A99</f>
        <v>CC6-A-4-1</v>
      </c>
      <c r="B100" s="29">
        <f>Data!B99</f>
        <v>122</v>
      </c>
      <c r="C100" s="50">
        <f>Data!C99</f>
        <v>4.54</v>
      </c>
      <c r="D100" s="29">
        <f>Data!D99</f>
        <v>576</v>
      </c>
      <c r="E100" s="29">
        <f>Data!E99</f>
        <v>40.5</v>
      </c>
      <c r="F100" s="29">
        <f>Data!F99</f>
        <v>366</v>
      </c>
      <c r="G100" s="29">
        <f>Data!J99</f>
        <v>1657</v>
      </c>
      <c r="H100" s="29">
        <f>Data!Q99</f>
        <v>1.26</v>
      </c>
      <c r="I100" s="29">
        <f>Data!R99</f>
        <v>1.21</v>
      </c>
      <c r="J100" s="29">
        <f>Data!S99</f>
        <v>0.95</v>
      </c>
      <c r="K100" s="50">
        <f>Data!U99</f>
        <v>0.96299999999999997</v>
      </c>
    </row>
    <row r="101" spans="1:11">
      <c r="A101" s="68" t="str">
        <f>Data!A100</f>
        <v>CC6-A-4-2</v>
      </c>
      <c r="B101" s="29">
        <f>Data!B100</f>
        <v>122</v>
      </c>
      <c r="C101" s="50">
        <f>Data!C100</f>
        <v>4.54</v>
      </c>
      <c r="D101" s="29">
        <f>Data!D100</f>
        <v>576</v>
      </c>
      <c r="E101" s="29">
        <f>Data!E100</f>
        <v>40.5</v>
      </c>
      <c r="F101" s="29">
        <f>Data!F100</f>
        <v>366</v>
      </c>
      <c r="G101" s="29">
        <f>Data!J100</f>
        <v>1663</v>
      </c>
      <c r="H101" s="29">
        <f>Data!Q100</f>
        <v>1.27</v>
      </c>
      <c r="I101" s="29">
        <f>Data!R100</f>
        <v>1.21</v>
      </c>
      <c r="J101" s="29">
        <f>Data!S100</f>
        <v>0.96</v>
      </c>
      <c r="K101" s="50">
        <f>Data!U100</f>
        <v>0.96599999999999997</v>
      </c>
    </row>
    <row r="102" spans="1:11">
      <c r="A102" s="68" t="str">
        <f>Data!A101</f>
        <v>CC6-A-8</v>
      </c>
      <c r="B102" s="29">
        <f>Data!B101</f>
        <v>122</v>
      </c>
      <c r="C102" s="50">
        <f>Data!C101</f>
        <v>4.54</v>
      </c>
      <c r="D102" s="29">
        <f>Data!D101</f>
        <v>576</v>
      </c>
      <c r="E102" s="29">
        <f>Data!E101</f>
        <v>77</v>
      </c>
      <c r="F102" s="29">
        <f>Data!F101</f>
        <v>366</v>
      </c>
      <c r="G102" s="29">
        <f>Data!J101</f>
        <v>2100</v>
      </c>
      <c r="H102" s="29">
        <f>Data!Q101</f>
        <v>1.3</v>
      </c>
      <c r="I102" s="29">
        <f>Data!R101</f>
        <v>1.21</v>
      </c>
      <c r="J102" s="29">
        <f>Data!S101</f>
        <v>1.03</v>
      </c>
      <c r="K102" s="50">
        <f>Data!U101</f>
        <v>1.024</v>
      </c>
    </row>
    <row r="103" spans="1:11">
      <c r="A103" s="68" t="str">
        <f>Data!A102</f>
        <v>CC6-C-2</v>
      </c>
      <c r="B103" s="29">
        <f>Data!B102</f>
        <v>239</v>
      </c>
      <c r="C103" s="50">
        <f>Data!C102</f>
        <v>4.54</v>
      </c>
      <c r="D103" s="29">
        <f>Data!D102</f>
        <v>507</v>
      </c>
      <c r="E103" s="29">
        <f>Data!E102</f>
        <v>25.4</v>
      </c>
      <c r="F103" s="29">
        <f>Data!F102</f>
        <v>717</v>
      </c>
      <c r="G103" s="29">
        <f>Data!J102</f>
        <v>3035</v>
      </c>
      <c r="H103" s="29">
        <f>Data!Q102</f>
        <v>1.17</v>
      </c>
      <c r="I103" s="29">
        <f>Data!R102</f>
        <v>1.1000000000000001</v>
      </c>
      <c r="J103" s="29">
        <f>Data!S102</f>
        <v>0.9</v>
      </c>
      <c r="K103" s="50">
        <f>Data!U102</f>
        <v>0.86899999999999999</v>
      </c>
    </row>
    <row r="104" spans="1:11">
      <c r="A104" s="68" t="str">
        <f>Data!A103</f>
        <v>CC6-C-4-1</v>
      </c>
      <c r="B104" s="29">
        <f>Data!B103</f>
        <v>238</v>
      </c>
      <c r="C104" s="50">
        <f>Data!C103</f>
        <v>4.54</v>
      </c>
      <c r="D104" s="29">
        <f>Data!D103</f>
        <v>507</v>
      </c>
      <c r="E104" s="29">
        <f>Data!E103</f>
        <v>40.5</v>
      </c>
      <c r="F104" s="29">
        <f>Data!F103</f>
        <v>714</v>
      </c>
      <c r="G104" s="29">
        <f>Data!J103</f>
        <v>3583</v>
      </c>
      <c r="H104" s="29">
        <f>Data!Q103</f>
        <v>1.1499999999999999</v>
      </c>
      <c r="I104" s="29">
        <f>Data!R103</f>
        <v>1.07</v>
      </c>
      <c r="J104" s="29">
        <f>Data!S103</f>
        <v>0.92</v>
      </c>
      <c r="K104" s="50">
        <f>Data!U103</f>
        <v>0.88600000000000001</v>
      </c>
    </row>
    <row r="105" spans="1:11">
      <c r="A105" s="68" t="str">
        <f>Data!A104</f>
        <v>CC6-C-4-2</v>
      </c>
      <c r="B105" s="29">
        <f>Data!B104</f>
        <v>238</v>
      </c>
      <c r="C105" s="50">
        <f>Data!C104</f>
        <v>4.54</v>
      </c>
      <c r="D105" s="29">
        <f>Data!D104</f>
        <v>507</v>
      </c>
      <c r="E105" s="29">
        <f>Data!E104</f>
        <v>40.5</v>
      </c>
      <c r="F105" s="29">
        <f>Data!F104</f>
        <v>714</v>
      </c>
      <c r="G105" s="29">
        <f>Data!J104</f>
        <v>3647</v>
      </c>
      <c r="H105" s="29">
        <f>Data!Q104</f>
        <v>1.17</v>
      </c>
      <c r="I105" s="29">
        <f>Data!R104</f>
        <v>1.0900000000000001</v>
      </c>
      <c r="J105" s="29">
        <f>Data!S104</f>
        <v>0.94</v>
      </c>
      <c r="K105" s="50">
        <f>Data!U104</f>
        <v>0.90200000000000002</v>
      </c>
    </row>
    <row r="106" spans="1:11">
      <c r="A106" s="68" t="str">
        <f>Data!A105</f>
        <v>CC6-C-8</v>
      </c>
      <c r="B106" s="29">
        <f>Data!B105</f>
        <v>238</v>
      </c>
      <c r="C106" s="50">
        <f>Data!C105</f>
        <v>4.54</v>
      </c>
      <c r="D106" s="29">
        <f>Data!D105</f>
        <v>507</v>
      </c>
      <c r="E106" s="29">
        <f>Data!E105</f>
        <v>77</v>
      </c>
      <c r="F106" s="29">
        <f>Data!F105</f>
        <v>714</v>
      </c>
      <c r="G106" s="29">
        <f>Data!J105</f>
        <v>5578</v>
      </c>
      <c r="H106" s="29">
        <f>Data!Q105</f>
        <v>1.27</v>
      </c>
      <c r="I106" s="29">
        <f>Data!R105</f>
        <v>1.1499999999999999</v>
      </c>
      <c r="J106" s="29">
        <f>Data!S105</f>
        <v>1.08</v>
      </c>
      <c r="K106" s="50">
        <f>Data!U105</f>
        <v>1.0249999999999999</v>
      </c>
    </row>
    <row r="107" spans="1:11">
      <c r="A107" s="68" t="str">
        <f>Data!A106</f>
        <v>CC6-D-2</v>
      </c>
      <c r="B107" s="29">
        <f>Data!B106</f>
        <v>361</v>
      </c>
      <c r="C107" s="50">
        <f>Data!C106</f>
        <v>4.54</v>
      </c>
      <c r="D107" s="29">
        <f>Data!D106</f>
        <v>525</v>
      </c>
      <c r="E107" s="29">
        <f>Data!E106</f>
        <v>25.4</v>
      </c>
      <c r="F107" s="29">
        <f>Data!F106</f>
        <v>1083</v>
      </c>
      <c r="G107" s="29">
        <f>Data!J106</f>
        <v>5633</v>
      </c>
      <c r="H107" s="29">
        <f>Data!Q106</f>
        <v>1.18</v>
      </c>
      <c r="I107" s="29">
        <f>Data!R106</f>
        <v>1.1000000000000001</v>
      </c>
      <c r="J107" s="29">
        <f>Data!S106</f>
        <v>0.93</v>
      </c>
      <c r="K107" s="50">
        <f>Data!U106</f>
        <v>0.88900000000000001</v>
      </c>
    </row>
    <row r="108" spans="1:11">
      <c r="A108" s="68" t="str">
        <f>Data!A107</f>
        <v>CC6-D-4-1</v>
      </c>
      <c r="B108" s="29">
        <f>Data!B107</f>
        <v>361</v>
      </c>
      <c r="C108" s="50">
        <f>Data!C107</f>
        <v>4.54</v>
      </c>
      <c r="D108" s="29">
        <f>Data!D107</f>
        <v>525</v>
      </c>
      <c r="E108" s="29">
        <f>Data!E107</f>
        <v>41.1</v>
      </c>
      <c r="F108" s="29">
        <f>Data!F107</f>
        <v>1083</v>
      </c>
      <c r="G108" s="29">
        <f>Data!J107</f>
        <v>7260</v>
      </c>
      <c r="H108" s="29">
        <f>Data!Q107</f>
        <v>1.2</v>
      </c>
      <c r="I108" s="29">
        <f>Data!R107</f>
        <v>1.0900000000000001</v>
      </c>
      <c r="J108" s="29">
        <f>Data!S107</f>
        <v>0.99</v>
      </c>
      <c r="K108" s="50">
        <f>Data!U107</f>
        <v>0.93600000000000005</v>
      </c>
    </row>
    <row r="109" spans="1:11">
      <c r="A109" s="68" t="str">
        <f>Data!A108</f>
        <v>CC6-D-4-2</v>
      </c>
      <c r="B109" s="29">
        <f>Data!B108</f>
        <v>360</v>
      </c>
      <c r="C109" s="50">
        <f>Data!C108</f>
        <v>4.54</v>
      </c>
      <c r="D109" s="29">
        <f>Data!D108</f>
        <v>525</v>
      </c>
      <c r="E109" s="29">
        <f>Data!E108</f>
        <v>41.1</v>
      </c>
      <c r="F109" s="29">
        <f>Data!F108</f>
        <v>1080</v>
      </c>
      <c r="G109" s="29">
        <f>Data!J108</f>
        <v>7045</v>
      </c>
      <c r="H109" s="29">
        <f>Data!Q108</f>
        <v>1.17</v>
      </c>
      <c r="I109" s="29">
        <f>Data!R108</f>
        <v>1.06</v>
      </c>
      <c r="J109" s="29">
        <f>Data!S108</f>
        <v>0.96</v>
      </c>
      <c r="K109" s="50">
        <f>Data!U108</f>
        <v>0.91200000000000003</v>
      </c>
    </row>
    <row r="110" spans="1:11">
      <c r="A110" s="68" t="str">
        <f>Data!A109</f>
        <v>CC6-D-8</v>
      </c>
      <c r="B110" s="29">
        <f>Data!B109</f>
        <v>360</v>
      </c>
      <c r="C110" s="50">
        <f>Data!C109</f>
        <v>4.54</v>
      </c>
      <c r="D110" s="29">
        <f>Data!D109</f>
        <v>525</v>
      </c>
      <c r="E110" s="29">
        <f>Data!E109</f>
        <v>85.1</v>
      </c>
      <c r="F110" s="29">
        <f>Data!F109</f>
        <v>1080</v>
      </c>
      <c r="G110" s="29">
        <f>Data!J109</f>
        <v>11505</v>
      </c>
      <c r="H110" s="29">
        <f>Data!Q109</f>
        <v>1.19</v>
      </c>
      <c r="I110" s="29">
        <f>Data!R109</f>
        <v>1.06</v>
      </c>
      <c r="J110" s="29">
        <f>Data!S109</f>
        <v>1.05</v>
      </c>
      <c r="K110" s="50">
        <f>Data!U109</f>
        <v>0.97899999999999998</v>
      </c>
    </row>
    <row r="111" spans="1:11">
      <c r="A111" s="68" t="str">
        <f>Data!A110</f>
        <v>CC8-A-2</v>
      </c>
      <c r="B111" s="29">
        <f>Data!B110</f>
        <v>108</v>
      </c>
      <c r="C111" s="50">
        <f>Data!C110</f>
        <v>6.47</v>
      </c>
      <c r="D111" s="29">
        <f>Data!D110</f>
        <v>853</v>
      </c>
      <c r="E111" s="29">
        <f>Data!E110</f>
        <v>25.4</v>
      </c>
      <c r="F111" s="29">
        <f>Data!F110</f>
        <v>324</v>
      </c>
      <c r="G111" s="29">
        <f>Data!J110</f>
        <v>2275</v>
      </c>
      <c r="H111" s="29">
        <f>Data!Q110</f>
        <v>1.19</v>
      </c>
      <c r="I111" s="29">
        <f>Data!R110</f>
        <v>1.17</v>
      </c>
      <c r="J111" s="29">
        <f>Data!S110</f>
        <v>0.87</v>
      </c>
      <c r="K111" s="50">
        <f>Data!U110</f>
        <v>0.94299999999999995</v>
      </c>
    </row>
    <row r="112" spans="1:11">
      <c r="A112" s="68" t="str">
        <f>Data!A111</f>
        <v>CC8-A-4-1</v>
      </c>
      <c r="B112" s="29">
        <f>Data!B111</f>
        <v>109</v>
      </c>
      <c r="C112" s="50">
        <f>Data!C111</f>
        <v>6.47</v>
      </c>
      <c r="D112" s="29">
        <f>Data!D111</f>
        <v>853</v>
      </c>
      <c r="E112" s="29">
        <f>Data!E111</f>
        <v>40.5</v>
      </c>
      <c r="F112" s="29">
        <f>Data!F111</f>
        <v>327</v>
      </c>
      <c r="G112" s="29">
        <f>Data!J111</f>
        <v>2446</v>
      </c>
      <c r="H112" s="29">
        <f>Data!Q111</f>
        <v>1.21</v>
      </c>
      <c r="I112" s="29">
        <f>Data!R111</f>
        <v>1.18</v>
      </c>
      <c r="J112" s="29">
        <f>Data!S111</f>
        <v>0.89</v>
      </c>
      <c r="K112" s="50">
        <f>Data!U111</f>
        <v>0.96399999999999997</v>
      </c>
    </row>
    <row r="113" spans="1:11">
      <c r="A113" s="68" t="str">
        <f>Data!A112</f>
        <v>CC8-A-4-2</v>
      </c>
      <c r="B113" s="29">
        <f>Data!B112</f>
        <v>108</v>
      </c>
      <c r="C113" s="50">
        <f>Data!C112</f>
        <v>6.47</v>
      </c>
      <c r="D113" s="29">
        <f>Data!D112</f>
        <v>853</v>
      </c>
      <c r="E113" s="29">
        <f>Data!E112</f>
        <v>40.5</v>
      </c>
      <c r="F113" s="29">
        <f>Data!F112</f>
        <v>324</v>
      </c>
      <c r="G113" s="29">
        <f>Data!J112</f>
        <v>2402</v>
      </c>
      <c r="H113" s="29">
        <f>Data!Q112</f>
        <v>1.2</v>
      </c>
      <c r="I113" s="29">
        <f>Data!R112</f>
        <v>1.17</v>
      </c>
      <c r="J113" s="29">
        <f>Data!S112</f>
        <v>0.88</v>
      </c>
      <c r="K113" s="50">
        <f>Data!U112</f>
        <v>0.95799999999999996</v>
      </c>
    </row>
    <row r="114" spans="1:11">
      <c r="A114" s="68" t="str">
        <f>Data!A113</f>
        <v>CC8-C-8</v>
      </c>
      <c r="B114" s="29">
        <f>Data!B113</f>
        <v>108</v>
      </c>
      <c r="C114" s="50">
        <f>Data!C113</f>
        <v>6.47</v>
      </c>
      <c r="D114" s="29">
        <f>Data!D113</f>
        <v>853</v>
      </c>
      <c r="E114" s="29">
        <f>Data!E113</f>
        <v>77</v>
      </c>
      <c r="F114" s="29">
        <f>Data!F113</f>
        <v>324</v>
      </c>
      <c r="G114" s="29">
        <f>Data!J113</f>
        <v>2713</v>
      </c>
      <c r="H114" s="29">
        <f>Data!Q113</f>
        <v>1.22</v>
      </c>
      <c r="I114" s="29">
        <f>Data!R113</f>
        <v>1.18</v>
      </c>
      <c r="J114" s="29">
        <f>Data!S113</f>
        <v>0.92</v>
      </c>
      <c r="K114" s="50">
        <f>Data!U113</f>
        <v>0.99199999999999999</v>
      </c>
    </row>
    <row r="115" spans="1:11">
      <c r="A115" s="68" t="str">
        <f>Data!A114</f>
        <v>CC8-C-2</v>
      </c>
      <c r="B115" s="29">
        <f>Data!B114</f>
        <v>222</v>
      </c>
      <c r="C115" s="50">
        <f>Data!C114</f>
        <v>6.47</v>
      </c>
      <c r="D115" s="29">
        <f>Data!D114</f>
        <v>843</v>
      </c>
      <c r="E115" s="29">
        <f>Data!E114</f>
        <v>25.4</v>
      </c>
      <c r="F115" s="29">
        <f>Data!F114</f>
        <v>666</v>
      </c>
      <c r="G115" s="29">
        <f>Data!J114</f>
        <v>4964</v>
      </c>
      <c r="H115" s="29">
        <f>Data!Q114</f>
        <v>1.1200000000000001</v>
      </c>
      <c r="I115" s="29">
        <f>Data!R114</f>
        <v>1.0900000000000001</v>
      </c>
      <c r="J115" s="29">
        <f>Data!S114</f>
        <v>0.81</v>
      </c>
      <c r="K115" s="50">
        <f>Data!U114</f>
        <v>0.85299999999999998</v>
      </c>
    </row>
    <row r="116" spans="1:11">
      <c r="A116" s="68" t="str">
        <f>Data!A115</f>
        <v>CC8-C-4-1</v>
      </c>
      <c r="B116" s="29">
        <f>Data!B115</f>
        <v>222</v>
      </c>
      <c r="C116" s="50">
        <f>Data!C115</f>
        <v>6.47</v>
      </c>
      <c r="D116" s="29">
        <f>Data!D115</f>
        <v>843</v>
      </c>
      <c r="E116" s="29">
        <f>Data!E115</f>
        <v>40.5</v>
      </c>
      <c r="F116" s="29">
        <f>Data!F115</f>
        <v>666</v>
      </c>
      <c r="G116" s="29">
        <f>Data!J115</f>
        <v>5638</v>
      </c>
      <c r="H116" s="29">
        <f>Data!Q115</f>
        <v>1.1599999999999999</v>
      </c>
      <c r="I116" s="29">
        <f>Data!R115</f>
        <v>1.1100000000000001</v>
      </c>
      <c r="J116" s="29">
        <f>Data!S115</f>
        <v>0.86</v>
      </c>
      <c r="K116" s="50">
        <f>Data!U115</f>
        <v>0.89800000000000002</v>
      </c>
    </row>
    <row r="117" spans="1:11">
      <c r="A117" s="68" t="str">
        <f>Data!A116</f>
        <v>CC8-C-4-2</v>
      </c>
      <c r="B117" s="29">
        <f>Data!B116</f>
        <v>222</v>
      </c>
      <c r="C117" s="50">
        <f>Data!C116</f>
        <v>6.47</v>
      </c>
      <c r="D117" s="29">
        <f>Data!D116</f>
        <v>843</v>
      </c>
      <c r="E117" s="29">
        <f>Data!E116</f>
        <v>40.5</v>
      </c>
      <c r="F117" s="29">
        <f>Data!F116</f>
        <v>666</v>
      </c>
      <c r="G117" s="29">
        <f>Data!J116</f>
        <v>5714</v>
      </c>
      <c r="H117" s="29">
        <f>Data!Q116</f>
        <v>1.17</v>
      </c>
      <c r="I117" s="29">
        <f>Data!R116</f>
        <v>1.1200000000000001</v>
      </c>
      <c r="J117" s="29">
        <f>Data!S116</f>
        <v>0.87</v>
      </c>
      <c r="K117" s="50">
        <f>Data!U116</f>
        <v>0.91</v>
      </c>
    </row>
    <row r="118" spans="1:11">
      <c r="A118" s="68" t="str">
        <f>Data!A117</f>
        <v>CC8-C-8</v>
      </c>
      <c r="B118" s="29">
        <f>Data!B117</f>
        <v>222</v>
      </c>
      <c r="C118" s="50">
        <f>Data!C117</f>
        <v>6.47</v>
      </c>
      <c r="D118" s="29">
        <f>Data!D117</f>
        <v>843</v>
      </c>
      <c r="E118" s="29">
        <f>Data!E117</f>
        <v>77</v>
      </c>
      <c r="F118" s="29">
        <f>Data!F117</f>
        <v>666</v>
      </c>
      <c r="G118" s="29">
        <f>Data!J117</f>
        <v>7304</v>
      </c>
      <c r="H118" s="29">
        <f>Data!Q117</f>
        <v>1.23</v>
      </c>
      <c r="I118" s="29">
        <f>Data!R117</f>
        <v>1.1499999999999999</v>
      </c>
      <c r="J118" s="29">
        <f>Data!S117</f>
        <v>0.96</v>
      </c>
      <c r="K118" s="50">
        <f>Data!U117</f>
        <v>0.98699999999999999</v>
      </c>
    </row>
    <row r="119" spans="1:11">
      <c r="A119" s="68" t="str">
        <f>Data!A118</f>
        <v>CC8-D-2</v>
      </c>
      <c r="B119" s="29">
        <f>Data!B118</f>
        <v>337</v>
      </c>
      <c r="C119" s="50">
        <f>Data!C118</f>
        <v>6.47</v>
      </c>
      <c r="D119" s="29">
        <f>Data!D118</f>
        <v>823</v>
      </c>
      <c r="E119" s="29">
        <f>Data!E118</f>
        <v>25.4</v>
      </c>
      <c r="F119" s="29">
        <f>Data!F118</f>
        <v>1011</v>
      </c>
      <c r="G119" s="29">
        <f>Data!J118</f>
        <v>8475</v>
      </c>
      <c r="H119" s="29">
        <f>Data!Q118</f>
        <v>1.1599999999999999</v>
      </c>
      <c r="I119" s="29">
        <f>Data!R118</f>
        <v>1.1100000000000001</v>
      </c>
      <c r="J119" s="29">
        <f>Data!S118</f>
        <v>0.86</v>
      </c>
      <c r="K119" s="50">
        <f>Data!U118</f>
        <v>0.876</v>
      </c>
    </row>
    <row r="120" spans="1:11">
      <c r="A120" s="68" t="str">
        <f>Data!A119</f>
        <v>CC8-D-4-1</v>
      </c>
      <c r="B120" s="29">
        <f>Data!B119</f>
        <v>337</v>
      </c>
      <c r="C120" s="50">
        <f>Data!C119</f>
        <v>6.47</v>
      </c>
      <c r="D120" s="29">
        <f>Data!D119</f>
        <v>823</v>
      </c>
      <c r="E120" s="29">
        <f>Data!E119</f>
        <v>41.1</v>
      </c>
      <c r="F120" s="29">
        <f>Data!F119</f>
        <v>1011</v>
      </c>
      <c r="G120" s="29">
        <f>Data!J119</f>
        <v>9668</v>
      </c>
      <c r="H120" s="29">
        <f>Data!Q119</f>
        <v>1.1499999999999999</v>
      </c>
      <c r="I120" s="29">
        <f>Data!R119</f>
        <v>1.08</v>
      </c>
      <c r="J120" s="29">
        <f>Data!S119</f>
        <v>0.88</v>
      </c>
      <c r="K120" s="50">
        <f>Data!U119</f>
        <v>0.89100000000000001</v>
      </c>
    </row>
    <row r="121" spans="1:11">
      <c r="A121" s="68" t="str">
        <f>Data!A120</f>
        <v>CC8-D-4-2</v>
      </c>
      <c r="B121" s="29">
        <f>Data!B120</f>
        <v>337</v>
      </c>
      <c r="C121" s="50">
        <f>Data!C120</f>
        <v>6.47</v>
      </c>
      <c r="D121" s="29">
        <f>Data!D120</f>
        <v>823</v>
      </c>
      <c r="E121" s="29">
        <f>Data!E120</f>
        <v>41.1</v>
      </c>
      <c r="F121" s="29">
        <f>Data!F120</f>
        <v>1011</v>
      </c>
      <c r="G121" s="29">
        <f>Data!J120</f>
        <v>9835</v>
      </c>
      <c r="H121" s="29">
        <f>Data!Q120</f>
        <v>1.17</v>
      </c>
      <c r="I121" s="29">
        <f>Data!R120</f>
        <v>1.1000000000000001</v>
      </c>
      <c r="J121" s="29">
        <f>Data!S120</f>
        <v>0.89</v>
      </c>
      <c r="K121" s="50">
        <f>Data!U120</f>
        <v>0.90700000000000003</v>
      </c>
    </row>
    <row r="122" spans="1:11">
      <c r="A122" s="68" t="str">
        <f>Data!A121</f>
        <v>CC8-D-8</v>
      </c>
      <c r="B122" s="29">
        <f>Data!B121</f>
        <v>337</v>
      </c>
      <c r="C122" s="50">
        <f>Data!C121</f>
        <v>6.47</v>
      </c>
      <c r="D122" s="29">
        <f>Data!D121</f>
        <v>823</v>
      </c>
      <c r="E122" s="29">
        <f>Data!E121</f>
        <v>85.1</v>
      </c>
      <c r="F122" s="29">
        <f>Data!F121</f>
        <v>1011</v>
      </c>
      <c r="G122" s="29">
        <f>Data!J121</f>
        <v>13776</v>
      </c>
      <c r="H122" s="29">
        <f>Data!Q121</f>
        <v>1.2</v>
      </c>
      <c r="I122" s="29">
        <f>Data!R121</f>
        <v>1.1000000000000001</v>
      </c>
      <c r="J122" s="29">
        <f>Data!S121</f>
        <v>0.98</v>
      </c>
      <c r="K122" s="50">
        <f>Data!U121</f>
        <v>0.97499999999999998</v>
      </c>
    </row>
    <row r="123" spans="1:11">
      <c r="A123" s="68"/>
      <c r="B123" s="29"/>
      <c r="C123" s="29"/>
      <c r="D123" s="29"/>
      <c r="E123" s="29"/>
      <c r="F123" s="29"/>
      <c r="G123" s="37" t="s">
        <v>201</v>
      </c>
      <c r="H123" s="38">
        <f>AVERAGE(H87:H122)</f>
        <v>1.155</v>
      </c>
      <c r="I123" s="38">
        <f>AVERAGE(I87:I122)</f>
        <v>1.0702777777777779</v>
      </c>
      <c r="J123" s="38">
        <f>AVERAGE(J87:J122)</f>
        <v>0.93333333333333313</v>
      </c>
      <c r="K123" s="38">
        <f>AVERAGE(K87:K122)</f>
        <v>0.9074722222222219</v>
      </c>
    </row>
    <row r="124" spans="1:11">
      <c r="G124" t="s">
        <v>198</v>
      </c>
      <c r="H124" s="53">
        <f>STDEV(H87:H122)</f>
        <v>8.8624408118112188E-2</v>
      </c>
      <c r="I124" s="53">
        <f>STDEV(I87:I122)</f>
        <v>0.11095651944049602</v>
      </c>
      <c r="J124" s="53">
        <f>STDEV(J87:J122)</f>
        <v>6.0663003552412414E-2</v>
      </c>
      <c r="K124" s="53">
        <f>STDEV(K87:K122)</f>
        <v>6.4260401542078807E-2</v>
      </c>
    </row>
    <row r="126" spans="1:11">
      <c r="F126" s="37" t="s">
        <v>203</v>
      </c>
      <c r="G126" s="56" t="s">
        <v>204</v>
      </c>
      <c r="H126" s="57">
        <f>AVERAGE(H6:H20,H23:H30,H33:H44,H48:H83,H87:H122)</f>
        <v>1.3039252336448597</v>
      </c>
      <c r="I126" s="57">
        <f>AVERAGE(I6:I20,I23:I30,I33:I44,I48:I83,I87:I122)</f>
        <v>1.2126168224299063</v>
      </c>
      <c r="J126" s="57">
        <f>AVERAGE(J6:J20,J23:J30,J33:J44,J48:J83,J87:J122)</f>
        <v>1.0553271028037381</v>
      </c>
      <c r="K126" s="57">
        <f>AVERAGE(K6:K20,K23:K30,K33:K44,K48:K83,K87:K122)</f>
        <v>1.011915887850467</v>
      </c>
    </row>
    <row r="127" spans="1:11">
      <c r="F127" s="55" t="s">
        <v>203</v>
      </c>
      <c r="G127" t="s">
        <v>198</v>
      </c>
      <c r="H127" s="53">
        <f>(15*H22+8*H32+12*H46+36*H85+36*H124)/107</f>
        <v>8.3232870919091387E-2</v>
      </c>
      <c r="I127" s="53">
        <f>(15*I22+8*I32+12*I46+36*I85+36*I124)/107</f>
        <v>8.922179068083122E-2</v>
      </c>
      <c r="J127" s="53">
        <f>(15*J22+8*J32+12*J46+36*J85+36*J124)/107</f>
        <v>6.5074972633266809E-2</v>
      </c>
      <c r="K127" s="53">
        <f>(15*K22+8*K32+12*K46+36*K85+36*K124)/107</f>
        <v>6.5157308742880865E-2</v>
      </c>
    </row>
    <row r="128" spans="1:11">
      <c r="E128" t="s">
        <v>205</v>
      </c>
      <c r="F128" t="s">
        <v>206</v>
      </c>
      <c r="G128" s="66">
        <f>COUNTIF(E6:E122,"&gt;75")</f>
        <v>15</v>
      </c>
      <c r="H128" s="40">
        <f t="array" ref="H128">AVERAGE(IF($E6:$E122 &gt;75, H6:H122))</f>
        <v>1.0860046021337491</v>
      </c>
      <c r="I128" s="40">
        <f t="array" ref="I128">AVERAGE(IF($E6:$E122 &gt;75, I6:I122))</f>
        <v>0.98596032187363059</v>
      </c>
      <c r="J128" s="40">
        <f t="array" ref="J128">AVERAGE(IF($E6:$E122 &gt;75, J6:J122))</f>
        <v>0.91656661619118529</v>
      </c>
      <c r="K128" s="40">
        <f t="array" ref="K128">AVERAGE(IF($E6:$E122 &gt;75, K6:K122))</f>
        <v>0.87322777728850032</v>
      </c>
    </row>
    <row r="129" spans="1:11">
      <c r="A129" s="67" t="str">
        <f>Data!A125</f>
        <v>Zhang &amp; Liu</v>
      </c>
      <c r="B129" s="67">
        <f>Data!B125</f>
        <v>2007</v>
      </c>
      <c r="C129" s="68" t="s">
        <v>207</v>
      </c>
    </row>
    <row r="130" spans="1:11">
      <c r="A130" s="68" t="str">
        <f>Data!A126</f>
        <v>c1  c-133-5-70-a</v>
      </c>
      <c r="B130" s="29">
        <f>Data!B126</f>
        <v>133.05000000000001</v>
      </c>
      <c r="C130" s="50">
        <f>Data!C126</f>
        <v>5</v>
      </c>
      <c r="D130" s="29">
        <f>Data!D126</f>
        <v>351</v>
      </c>
      <c r="E130" s="29">
        <f>Data!E126</f>
        <v>70.8</v>
      </c>
      <c r="F130" s="29">
        <f>Data!F126</f>
        <v>399</v>
      </c>
      <c r="G130" s="29">
        <f>Data!J126</f>
        <v>1890</v>
      </c>
      <c r="H130" s="29">
        <f>Data!Q126</f>
        <v>1.33</v>
      </c>
      <c r="I130" s="29">
        <f>Data!R126</f>
        <v>1.22</v>
      </c>
      <c r="J130" s="29">
        <f>Data!S126</f>
        <v>1.0900000000000001</v>
      </c>
      <c r="K130" s="50">
        <f>Data!U126</f>
        <v>1.04</v>
      </c>
    </row>
    <row r="131" spans="1:11">
      <c r="A131" s="68" t="str">
        <f>Data!A127</f>
        <v>c2  c-140-3-70-a</v>
      </c>
      <c r="B131" s="29">
        <f>Data!B127</f>
        <v>138.5</v>
      </c>
      <c r="C131" s="50">
        <f>Data!C127</f>
        <v>3.24</v>
      </c>
      <c r="D131" s="29">
        <f>Data!D127</f>
        <v>331.7</v>
      </c>
      <c r="E131" s="29">
        <f>Data!E127</f>
        <v>70.8</v>
      </c>
      <c r="F131" s="29">
        <f>Data!F127</f>
        <v>417</v>
      </c>
      <c r="G131" s="29">
        <f>Data!J127</f>
        <v>1851</v>
      </c>
      <c r="H131" s="29">
        <f>Data!Q127</f>
        <v>1.45</v>
      </c>
      <c r="I131" s="29">
        <f>Data!R127</f>
        <v>1.3</v>
      </c>
      <c r="J131" s="29">
        <f>Data!S127</f>
        <v>1.24</v>
      </c>
      <c r="K131" s="50">
        <f>Data!U127</f>
        <v>1.155</v>
      </c>
    </row>
    <row r="132" spans="1:11">
      <c r="A132" s="68" t="str">
        <f>Data!A128</f>
        <v>c1  c-133-5-70-b</v>
      </c>
      <c r="B132" s="29">
        <f>Data!B128</f>
        <v>133.34</v>
      </c>
      <c r="C132" s="50">
        <f>Data!C128</f>
        <v>5.01</v>
      </c>
      <c r="D132" s="29">
        <f>Data!D128</f>
        <v>351</v>
      </c>
      <c r="E132" s="29">
        <f>Data!E128</f>
        <v>70.8</v>
      </c>
      <c r="F132" s="29">
        <f>Data!F128</f>
        <v>399</v>
      </c>
      <c r="G132" s="29">
        <f>Data!J128</f>
        <v>2004</v>
      </c>
      <c r="H132" s="29">
        <f>Data!Q128</f>
        <v>1.4</v>
      </c>
      <c r="I132" s="29">
        <f>Data!R128</f>
        <v>1.29</v>
      </c>
      <c r="J132" s="29">
        <f>Data!S128</f>
        <v>1.1499999999999999</v>
      </c>
      <c r="K132" s="50">
        <f>Data!U128</f>
        <v>1.0980000000000001</v>
      </c>
    </row>
    <row r="133" spans="1:11">
      <c r="A133" s="68" t="str">
        <f>Data!A129</f>
        <v>c1  c-133-5-70-c</v>
      </c>
      <c r="B133" s="29">
        <f>Data!B129</f>
        <v>133.1</v>
      </c>
      <c r="C133" s="50">
        <f>Data!C129</f>
        <v>5.05</v>
      </c>
      <c r="D133" s="29">
        <f>Data!D129</f>
        <v>351</v>
      </c>
      <c r="E133" s="29">
        <f>Data!E129</f>
        <v>70.8</v>
      </c>
      <c r="F133" s="29">
        <f>Data!F129</f>
        <v>399</v>
      </c>
      <c r="G133" s="29">
        <f>Data!J129</f>
        <v>2514</v>
      </c>
      <c r="H133" s="29">
        <f>Data!Q129</f>
        <v>1.76</v>
      </c>
      <c r="I133" s="29">
        <f>Data!R129</f>
        <v>1.62</v>
      </c>
      <c r="J133" s="29">
        <f>Data!S129</f>
        <v>1.44</v>
      </c>
      <c r="K133" s="50">
        <f>Data!U129</f>
        <v>1.377</v>
      </c>
    </row>
    <row r="134" spans="1:11">
      <c r="A134" s="68" t="str">
        <f>Data!A130</f>
        <v>c2  c-140-3-70-b</v>
      </c>
      <c r="B134" s="29">
        <f>Data!B130</f>
        <v>139.30000000000001</v>
      </c>
      <c r="C134" s="50">
        <f>Data!C130</f>
        <v>3.36</v>
      </c>
      <c r="D134" s="29">
        <f>Data!D130</f>
        <v>331.7</v>
      </c>
      <c r="E134" s="29">
        <f>Data!E130</f>
        <v>70.8</v>
      </c>
      <c r="F134" s="29">
        <f>Data!F130</f>
        <v>417</v>
      </c>
      <c r="G134" s="29">
        <f>Data!J130</f>
        <v>1920</v>
      </c>
      <c r="H134" s="29">
        <f>Data!Q130</f>
        <v>1.47</v>
      </c>
      <c r="I134" s="29">
        <f>Data!R130</f>
        <v>1.32</v>
      </c>
      <c r="J134" s="29">
        <f>Data!S130</f>
        <v>1.26</v>
      </c>
      <c r="K134" s="50">
        <f>Data!U130</f>
        <v>1.1719999999999999</v>
      </c>
    </row>
    <row r="135" spans="1:11">
      <c r="A135" s="68" t="str">
        <f>Data!A131</f>
        <v>c2  c-140-3-70-c</v>
      </c>
      <c r="B135" s="29">
        <f>Data!B131</f>
        <v>138.25</v>
      </c>
      <c r="C135" s="50">
        <f>Data!C131</f>
        <v>3.34</v>
      </c>
      <c r="D135" s="29">
        <f>Data!D131</f>
        <v>331.7</v>
      </c>
      <c r="E135" s="29">
        <f>Data!E131</f>
        <v>70.8</v>
      </c>
      <c r="F135" s="29">
        <f>Data!F131</f>
        <v>417</v>
      </c>
      <c r="G135" s="29">
        <f>Data!J131</f>
        <v>2330</v>
      </c>
      <c r="H135" s="29">
        <f>Data!Q131</f>
        <v>1.81</v>
      </c>
      <c r="I135" s="29">
        <f>Data!R131</f>
        <v>1.63</v>
      </c>
      <c r="J135" s="29">
        <f>Data!S131</f>
        <v>1.55</v>
      </c>
      <c r="K135" s="50">
        <f>Data!U131</f>
        <v>1.4450000000000001</v>
      </c>
    </row>
    <row r="136" spans="1:11">
      <c r="A136" s="68" t="str">
        <f>Data!A132</f>
        <v>m3 c-133-5-75-b1</v>
      </c>
      <c r="B136" s="29">
        <f>Data!B132</f>
        <v>133.25</v>
      </c>
      <c r="C136" s="50">
        <f>Data!C132</f>
        <v>4.91</v>
      </c>
      <c r="D136" s="29">
        <f>Data!D132</f>
        <v>351</v>
      </c>
      <c r="E136" s="29">
        <f>Data!E132</f>
        <v>75.3</v>
      </c>
      <c r="F136" s="29">
        <f>Data!F132</f>
        <v>400</v>
      </c>
      <c r="G136" s="29">
        <f>Data!J132</f>
        <v>2347</v>
      </c>
      <c r="H136" s="29">
        <f>Data!Q132</f>
        <v>1.61</v>
      </c>
      <c r="I136" s="29">
        <f>Data!R132</f>
        <v>1.47</v>
      </c>
      <c r="J136" s="29">
        <f>Data!S132</f>
        <v>1.33</v>
      </c>
      <c r="K136" s="50">
        <f>Data!U132</f>
        <v>1.264</v>
      </c>
    </row>
    <row r="137" spans="1:11">
      <c r="A137" s="68" t="str">
        <f>Data!A133</f>
        <v>m3 c-133-5-75-b2</v>
      </c>
      <c r="B137" s="29">
        <f>Data!B133</f>
        <v>133.21</v>
      </c>
      <c r="C137" s="50">
        <f>Data!C133</f>
        <v>5.05</v>
      </c>
      <c r="D137" s="29">
        <f>Data!D133</f>
        <v>351</v>
      </c>
      <c r="E137" s="29">
        <f>Data!E133</f>
        <v>75.3</v>
      </c>
      <c r="F137" s="29">
        <f>Data!F133</f>
        <v>400</v>
      </c>
      <c r="G137" s="29">
        <f>Data!J133</f>
        <v>2366</v>
      </c>
      <c r="H137" s="29">
        <f>Data!Q133</f>
        <v>1.6</v>
      </c>
      <c r="I137" s="29">
        <f>Data!R133</f>
        <v>1.47</v>
      </c>
      <c r="J137" s="29">
        <f>Data!S133</f>
        <v>1.32</v>
      </c>
      <c r="K137" s="50">
        <f>Data!U133</f>
        <v>1.2609999999999999</v>
      </c>
    </row>
    <row r="138" spans="1:11">
      <c r="A138" s="68" t="str">
        <f>Data!A134</f>
        <v>m3 c-133-5-75-b3</v>
      </c>
      <c r="B138" s="29">
        <f>Data!B134</f>
        <v>133.41999999999999</v>
      </c>
      <c r="C138" s="50">
        <f>Data!C134</f>
        <v>5.41</v>
      </c>
      <c r="D138" s="29">
        <f>Data!D134</f>
        <v>351</v>
      </c>
      <c r="E138" s="29">
        <f>Data!E134</f>
        <v>75.3</v>
      </c>
      <c r="F138" s="29">
        <f>Data!F134</f>
        <v>400</v>
      </c>
      <c r="G138" s="29">
        <f>Data!J134</f>
        <v>2324</v>
      </c>
      <c r="H138" s="29">
        <f>Data!Q134</f>
        <v>1.53</v>
      </c>
      <c r="I138" s="29">
        <f>Data!R134</f>
        <v>1.41</v>
      </c>
      <c r="J138" s="29">
        <f>Data!S134</f>
        <v>1.25</v>
      </c>
      <c r="K138" s="50">
        <f>Data!U134</f>
        <v>1.1990000000000001</v>
      </c>
    </row>
    <row r="139" spans="1:11">
      <c r="A139" s="68" t="str">
        <f>Data!A135</f>
        <v>m4 c-133-6-75-b1</v>
      </c>
      <c r="B139" s="29">
        <f>Data!B135</f>
        <v>133.22</v>
      </c>
      <c r="C139" s="50">
        <f>Data!C135</f>
        <v>6.07</v>
      </c>
      <c r="D139" s="29">
        <f>Data!D135</f>
        <v>392</v>
      </c>
      <c r="E139" s="29">
        <f>Data!E135</f>
        <v>75.3</v>
      </c>
      <c r="F139" s="29">
        <f>Data!F135</f>
        <v>400</v>
      </c>
      <c r="G139" s="29">
        <f>Data!J135</f>
        <v>2234</v>
      </c>
      <c r="H139" s="29">
        <f>Data!Q135</f>
        <v>1.32</v>
      </c>
      <c r="I139" s="29">
        <f>Data!R135</f>
        <v>1.23</v>
      </c>
      <c r="J139" s="29">
        <f>Data!S135</f>
        <v>1.07</v>
      </c>
      <c r="K139" s="50">
        <f>Data!U135</f>
        <v>0.252</v>
      </c>
    </row>
    <row r="140" spans="1:11">
      <c r="A140" s="68" t="str">
        <f>Data!A136</f>
        <v>m4 c-133-6-75-b2</v>
      </c>
      <c r="B140" s="29">
        <f>Data!B136</f>
        <v>133.29</v>
      </c>
      <c r="C140" s="50">
        <f>Data!C136</f>
        <v>6.17</v>
      </c>
      <c r="D140" s="29">
        <f>Data!D136</f>
        <v>392</v>
      </c>
      <c r="E140" s="29">
        <f>Data!E136</f>
        <v>75.3</v>
      </c>
      <c r="F140" s="29">
        <f>Data!F136</f>
        <v>400</v>
      </c>
      <c r="G140" s="29">
        <f>Data!J136</f>
        <v>2267</v>
      </c>
      <c r="H140" s="29">
        <f>Data!Q136</f>
        <v>1.33</v>
      </c>
      <c r="I140" s="29">
        <f>Data!R136</f>
        <v>1.24</v>
      </c>
      <c r="J140" s="29">
        <f>Data!S136</f>
        <v>1.07</v>
      </c>
      <c r="K140" s="50">
        <f>Data!U136</f>
        <v>1.0409999999999999</v>
      </c>
    </row>
    <row r="141" spans="1:11">
      <c r="A141" s="68" t="str">
        <f>Data!A137</f>
        <v>m4 c-133-6-75-b3</v>
      </c>
      <c r="B141" s="29">
        <f>Data!B137</f>
        <v>133.29</v>
      </c>
      <c r="C141" s="50">
        <f>Data!C137</f>
        <v>6.11</v>
      </c>
      <c r="D141" s="29">
        <f>Data!D137</f>
        <v>392</v>
      </c>
      <c r="E141" s="29">
        <f>Data!E137</f>
        <v>75.3</v>
      </c>
      <c r="F141" s="29">
        <f>Data!F137</f>
        <v>400</v>
      </c>
      <c r="G141" s="29">
        <f>Data!J137</f>
        <v>2275</v>
      </c>
      <c r="H141" s="29">
        <f>Data!Q137</f>
        <v>1.34</v>
      </c>
      <c r="I141" s="29">
        <f>Data!R137</f>
        <v>1.25</v>
      </c>
      <c r="J141" s="29">
        <f>Data!S137</f>
        <v>1.08</v>
      </c>
      <c r="K141" s="50">
        <f>Data!U137</f>
        <v>1.05</v>
      </c>
    </row>
    <row r="142" spans="1:11">
      <c r="A142" s="68" t="str">
        <f>Data!A138</f>
        <v>m5 c-140-3-75-b1</v>
      </c>
      <c r="B142" s="29">
        <f>Data!B138</f>
        <v>139.4</v>
      </c>
      <c r="C142" s="50">
        <f>Data!C138</f>
        <v>3.27</v>
      </c>
      <c r="D142" s="29">
        <f>Data!D138</f>
        <v>331.7</v>
      </c>
      <c r="E142" s="29">
        <f>Data!E138</f>
        <v>75.3</v>
      </c>
      <c r="F142" s="29">
        <f>Data!F138</f>
        <v>418</v>
      </c>
      <c r="G142" s="29">
        <f>Data!J138</f>
        <v>2120</v>
      </c>
      <c r="H142" s="29">
        <f>Data!Q138</f>
        <v>1.57</v>
      </c>
      <c r="I142" s="29">
        <f>Data!R138</f>
        <v>1.41</v>
      </c>
      <c r="J142" s="29">
        <f>Data!S138</f>
        <v>1.35</v>
      </c>
      <c r="K142" s="50">
        <f>Data!U138</f>
        <v>1.2589999999999999</v>
      </c>
    </row>
    <row r="143" spans="1:11">
      <c r="A143" s="68" t="str">
        <f>Data!A139</f>
        <v>m5 c-140-3-75-b2</v>
      </c>
      <c r="B143" s="29">
        <f>Data!B139</f>
        <v>138.69999999999999</v>
      </c>
      <c r="C143" s="50">
        <f>Data!C139</f>
        <v>3.23</v>
      </c>
      <c r="D143" s="29">
        <f>Data!D139</f>
        <v>331.7</v>
      </c>
      <c r="E143" s="29">
        <f>Data!E139</f>
        <v>75.3</v>
      </c>
      <c r="F143" s="29">
        <f>Data!F139</f>
        <v>416</v>
      </c>
      <c r="G143" s="29">
        <f>Data!J139</f>
        <v>2147</v>
      </c>
      <c r="H143" s="29">
        <f>Data!Q139</f>
        <v>1.61</v>
      </c>
      <c r="I143" s="29">
        <f>Data!R139</f>
        <v>1.44</v>
      </c>
      <c r="J143" s="29">
        <f>Data!S139</f>
        <v>1.39</v>
      </c>
      <c r="K143" s="50">
        <f>Data!U139</f>
        <v>1.2909999999999999</v>
      </c>
    </row>
    <row r="144" spans="1:11">
      <c r="A144" s="68" t="str">
        <f>Data!A140</f>
        <v>m5 c-140-3-75-b3</v>
      </c>
      <c r="B144" s="29">
        <f>Data!B140</f>
        <v>138.69999999999999</v>
      </c>
      <c r="C144" s="50">
        <f>Data!C140</f>
        <v>3.27</v>
      </c>
      <c r="D144" s="29">
        <f>Data!D140</f>
        <v>331.7</v>
      </c>
      <c r="E144" s="29">
        <f>Data!E140</f>
        <v>75.3</v>
      </c>
      <c r="F144" s="29">
        <f>Data!F140</f>
        <v>416</v>
      </c>
      <c r="G144" s="29">
        <f>Data!J140</f>
        <v>2185</v>
      </c>
      <c r="H144" s="29">
        <f>Data!Q140</f>
        <v>1.63</v>
      </c>
      <c r="I144" s="29">
        <f>Data!R140</f>
        <v>1.46</v>
      </c>
      <c r="J144" s="29">
        <f>Data!S140</f>
        <v>1.41</v>
      </c>
      <c r="K144" s="50">
        <f>Data!U140</f>
        <v>1.3080000000000001</v>
      </c>
    </row>
    <row r="145" spans="1:11">
      <c r="A145" s="68" t="str">
        <f>Data!A141</f>
        <v>m6 c-160-5-75-b1</v>
      </c>
      <c r="B145" s="29">
        <f>Data!B141</f>
        <v>158.6</v>
      </c>
      <c r="C145" s="50">
        <f>Data!C141</f>
        <v>5.17</v>
      </c>
      <c r="D145" s="29">
        <f>Data!D141</f>
        <v>356.3</v>
      </c>
      <c r="E145" s="29">
        <f>Data!E141</f>
        <v>75.3</v>
      </c>
      <c r="F145" s="29">
        <f>Data!F141</f>
        <v>477</v>
      </c>
      <c r="G145" s="29">
        <f>Data!J141</f>
        <v>3198</v>
      </c>
      <c r="H145" s="29">
        <f>Data!Q141</f>
        <v>1.6</v>
      </c>
      <c r="I145" s="29">
        <f>Data!R141</f>
        <v>1.46</v>
      </c>
      <c r="J145" s="29">
        <f>Data!S141</f>
        <v>1.34</v>
      </c>
      <c r="K145" s="50">
        <f>Data!U141</f>
        <v>1.2689999999999999</v>
      </c>
    </row>
    <row r="146" spans="1:11">
      <c r="A146" s="68" t="str">
        <f>Data!A142</f>
        <v>m6 c-160-5-75-b2</v>
      </c>
      <c r="B146" s="29">
        <f>Data!B142</f>
        <v>158.9</v>
      </c>
      <c r="C146" s="50">
        <f>Data!C142</f>
        <v>5.12</v>
      </c>
      <c r="D146" s="29">
        <f>Data!D142</f>
        <v>356.3</v>
      </c>
      <c r="E146" s="29">
        <f>Data!E142</f>
        <v>75.3</v>
      </c>
      <c r="F146" s="29">
        <f>Data!F142</f>
        <v>477</v>
      </c>
      <c r="G146" s="29">
        <f>Data!J142</f>
        <v>3095</v>
      </c>
      <c r="H146" s="29">
        <f>Data!Q142</f>
        <v>1.55</v>
      </c>
      <c r="I146" s="29">
        <f>Data!R142</f>
        <v>1.41</v>
      </c>
      <c r="J146" s="29">
        <f>Data!S142</f>
        <v>1.3</v>
      </c>
      <c r="K146" s="50">
        <f>Data!U142</f>
        <v>1.228</v>
      </c>
    </row>
    <row r="147" spans="1:11">
      <c r="A147" s="68" t="str">
        <f>Data!A143</f>
        <v>m6 c-160-5-75-b3</v>
      </c>
      <c r="B147" s="29">
        <f>Data!B143</f>
        <v>159.1</v>
      </c>
      <c r="C147" s="50">
        <f>Data!C143</f>
        <v>5.1100000000000003</v>
      </c>
      <c r="D147" s="29">
        <f>Data!D143</f>
        <v>356.3</v>
      </c>
      <c r="E147" s="29">
        <f>Data!E143</f>
        <v>75.3</v>
      </c>
      <c r="F147" s="29">
        <f>Data!F143</f>
        <v>477</v>
      </c>
      <c r="G147" s="29">
        <f>Data!J143</f>
        <v>3031</v>
      </c>
      <c r="H147" s="29">
        <f>Data!Q143</f>
        <v>1.52</v>
      </c>
      <c r="I147" s="29">
        <f>Data!R143</f>
        <v>1.38</v>
      </c>
      <c r="J147" s="29">
        <f>Data!S143</f>
        <v>1.27</v>
      </c>
      <c r="K147" s="50">
        <f>Data!U143</f>
        <v>1.2010000000000001</v>
      </c>
    </row>
    <row r="148" spans="1:11">
      <c r="A148" s="55" t="s">
        <v>208</v>
      </c>
      <c r="B148" s="75" t="s">
        <v>209</v>
      </c>
      <c r="C148" s="76"/>
      <c r="D148" s="76"/>
      <c r="E148" s="76"/>
      <c r="G148" s="56" t="s">
        <v>210</v>
      </c>
      <c r="H148" s="57">
        <f>AVERAGE(H130:H147)</f>
        <v>1.5238888888888888</v>
      </c>
      <c r="I148" s="57">
        <f>AVERAGE(I130:I147)</f>
        <v>1.3894444444444447</v>
      </c>
      <c r="J148" s="57">
        <f>AVERAGE(J130:J147)</f>
        <v>1.2727777777777778</v>
      </c>
      <c r="K148" s="57">
        <f>AVERAGE(K130:K147)</f>
        <v>1.1616666666666668</v>
      </c>
    </row>
    <row r="149" spans="1:11">
      <c r="A149" t="s">
        <v>211</v>
      </c>
      <c r="B149" s="75" t="s">
        <v>212</v>
      </c>
      <c r="C149" s="76"/>
      <c r="D149" s="76"/>
      <c r="G149" t="s">
        <v>198</v>
      </c>
      <c r="H149" s="53">
        <f>STDEV(H130:H147)</f>
        <v>0.14398279672111522</v>
      </c>
      <c r="I149" s="53">
        <f>STDEV(I130:I147)</f>
        <v>0.12283284779216033</v>
      </c>
      <c r="J149" s="53">
        <f>STDEV(J130:J147)</f>
        <v>0.13800279432616588</v>
      </c>
      <c r="K149" s="53">
        <f>STDEV(K130:K147)</f>
        <v>0.25286499536779039</v>
      </c>
    </row>
    <row r="150" spans="1:11">
      <c r="A150" t="s">
        <v>213</v>
      </c>
      <c r="G150" t="s">
        <v>214</v>
      </c>
      <c r="H150" s="40">
        <f>AVERAGE(H130:H131)</f>
        <v>1.3900000000000001</v>
      </c>
      <c r="I150" s="40">
        <f>AVERAGE(I130:I131)</f>
        <v>1.26</v>
      </c>
      <c r="J150" s="40">
        <f>AVERAGE(J130:J131)</f>
        <v>1.165</v>
      </c>
      <c r="K150" s="40">
        <f>AVERAGE(K130:K131)</f>
        <v>1.0975000000000001</v>
      </c>
    </row>
    <row r="151" spans="1:11">
      <c r="G151" t="s">
        <v>198</v>
      </c>
      <c r="H151" s="53">
        <f>STDEV(H130:H131)</f>
        <v>8.4852813742385624E-2</v>
      </c>
      <c r="I151" s="53">
        <f>STDEV(I130:I131)</f>
        <v>5.6568542494923851E-2</v>
      </c>
      <c r="J151" s="53">
        <f>STDEV(J130:J131)</f>
        <v>0.10606601717798207</v>
      </c>
      <c r="K151" s="53">
        <f>STDEV(K130:K131)</f>
        <v>8.1317279836452955E-2</v>
      </c>
    </row>
    <row r="152" spans="1:11">
      <c r="E152" s="75" t="s">
        <v>215</v>
      </c>
      <c r="F152" s="75"/>
      <c r="G152" t="s">
        <v>216</v>
      </c>
      <c r="H152" s="40">
        <f>AVERAGE(H132:H147)</f>
        <v>1.5406249999999999</v>
      </c>
      <c r="I152" s="40">
        <f>AVERAGE(I132:I147)</f>
        <v>1.4056250000000001</v>
      </c>
      <c r="J152" s="40">
        <f>AVERAGE(J132:J147)</f>
        <v>1.2862499999999999</v>
      </c>
      <c r="K152" s="40">
        <f>AVERAGE(K132:K147)</f>
        <v>1.1696875000000002</v>
      </c>
    </row>
    <row r="153" spans="1:11">
      <c r="H153" s="53">
        <f>STDEV(H132:H147)</f>
        <v>0.14257015816782978</v>
      </c>
      <c r="I153" s="53">
        <f>STDEV(I132:I147)</f>
        <v>0.1198870996674232</v>
      </c>
      <c r="J153" s="53">
        <f>STDEV(J132:J147)</f>
        <v>0.13817259737975138</v>
      </c>
      <c r="K153" s="53">
        <f>STDEV(K132:K147)</f>
        <v>0.26722218439593098</v>
      </c>
    </row>
  </sheetData>
  <mergeCells count="6">
    <mergeCell ref="B149:D149"/>
    <mergeCell ref="E152:F152"/>
    <mergeCell ref="A1:B1"/>
    <mergeCell ref="C1:K1"/>
    <mergeCell ref="C2:E2"/>
    <mergeCell ref="B148:E148"/>
  </mergeCells>
  <phoneticPr fontId="0" type="noConversion"/>
  <pageMargins left="0.75" right="0.75" top="1" bottom="1" header="0.5" footer="0.5"/>
  <pageSetup paperSize="9" scale="83" orientation="portrait" horizontalDpi="300" verticalDpi="0" r:id="rId1"/>
  <headerFooter alignWithMargins="0"/>
  <rowBreaks count="2" manualBreakCount="2">
    <brk id="46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48"/>
  <sheetViews>
    <sheetView workbookViewId="0" xr3:uid="{F9CF3CF3-643B-5BE6-8B46-32C596A47465}">
      <selection activeCell="A2" sqref="A2"/>
    </sheetView>
  </sheetViews>
  <sheetFormatPr defaultRowHeight="12.75"/>
  <sheetData>
    <row r="1" spans="2:9">
      <c r="B1" s="77" t="s">
        <v>217</v>
      </c>
      <c r="C1" s="77"/>
      <c r="D1" s="77"/>
    </row>
    <row r="2" spans="2:9">
      <c r="B2" s="77" t="s">
        <v>218</v>
      </c>
      <c r="C2" s="77"/>
      <c r="D2" s="77"/>
      <c r="G2" s="75" t="s">
        <v>219</v>
      </c>
      <c r="H2" s="75"/>
    </row>
    <row r="3" spans="2:9">
      <c r="B3" s="67" t="s">
        <v>192</v>
      </c>
      <c r="C3" s="67" t="s">
        <v>220</v>
      </c>
      <c r="D3" s="67" t="s">
        <v>221</v>
      </c>
      <c r="E3" s="28" t="s">
        <v>192</v>
      </c>
      <c r="G3" s="78" t="s">
        <v>222</v>
      </c>
      <c r="H3" s="78"/>
    </row>
    <row r="4" spans="2:9">
      <c r="B4" s="67" t="s">
        <v>223</v>
      </c>
      <c r="C4" s="67" t="s">
        <v>224</v>
      </c>
      <c r="D4" s="67" t="s">
        <v>223</v>
      </c>
      <c r="E4" s="67" t="s">
        <v>221</v>
      </c>
      <c r="H4" s="67" t="s">
        <v>220</v>
      </c>
      <c r="I4" s="67" t="s">
        <v>161</v>
      </c>
    </row>
    <row r="5" spans="2:9">
      <c r="B5" s="21">
        <v>1326</v>
      </c>
      <c r="C5" s="22">
        <v>18.2</v>
      </c>
      <c r="D5" s="49">
        <v>1076</v>
      </c>
      <c r="E5" s="40">
        <f>B5/D5</f>
        <v>1.2323420074349443</v>
      </c>
      <c r="G5" s="66" t="s">
        <v>225</v>
      </c>
      <c r="H5" s="40">
        <v>27.8</v>
      </c>
      <c r="I5" s="40">
        <f>Summary!K10</f>
        <v>0.999</v>
      </c>
    </row>
    <row r="6" spans="2:9">
      <c r="B6" s="21">
        <v>1219</v>
      </c>
      <c r="C6" s="22">
        <v>34.700000000000003</v>
      </c>
      <c r="D6" s="49">
        <v>1407</v>
      </c>
      <c r="E6" s="40">
        <f t="shared" ref="E6:E69" si="0">B6/D6</f>
        <v>0.86638237384506045</v>
      </c>
      <c r="G6" s="66" t="s">
        <v>226</v>
      </c>
      <c r="H6" s="40">
        <v>77.8</v>
      </c>
      <c r="I6" s="40">
        <f>Summary!K11</f>
        <v>1.0009999999999999</v>
      </c>
    </row>
    <row r="7" spans="2:9">
      <c r="B7" s="21">
        <v>1308</v>
      </c>
      <c r="C7" s="22">
        <v>37.1</v>
      </c>
      <c r="D7" s="49">
        <v>1535</v>
      </c>
      <c r="E7" s="40">
        <f t="shared" si="0"/>
        <v>0.85211726384364817</v>
      </c>
      <c r="G7" s="66" t="s">
        <v>227</v>
      </c>
      <c r="H7" s="40">
        <v>46.1</v>
      </c>
      <c r="I7" s="40">
        <f>Summary!K15</f>
        <v>0.96799999999999997</v>
      </c>
    </row>
    <row r="8" spans="2:9">
      <c r="B8" s="21">
        <v>1330</v>
      </c>
      <c r="C8" s="22">
        <v>34.1</v>
      </c>
      <c r="D8" s="49">
        <v>1474</v>
      </c>
      <c r="E8" s="40">
        <f t="shared" si="0"/>
        <v>0.90230664857530529</v>
      </c>
      <c r="G8" s="66" t="s">
        <v>228</v>
      </c>
      <c r="H8" s="40">
        <v>25.5</v>
      </c>
      <c r="I8" s="40">
        <f>Summary!K18</f>
        <v>1.0409999999999999</v>
      </c>
    </row>
    <row r="9" spans="2:9">
      <c r="B9" s="21">
        <v>1557</v>
      </c>
      <c r="C9" s="22">
        <v>27</v>
      </c>
      <c r="D9" s="49">
        <v>1429</v>
      </c>
      <c r="E9" s="40">
        <f t="shared" si="0"/>
        <v>1.0895731280615815</v>
      </c>
      <c r="G9" s="66" t="s">
        <v>229</v>
      </c>
      <c r="H9" s="40">
        <v>79.099999999999994</v>
      </c>
      <c r="I9" s="40">
        <f>Summary!K20</f>
        <v>0.86899999999999999</v>
      </c>
    </row>
    <row r="10" spans="2:9">
      <c r="B10" s="21">
        <v>1432</v>
      </c>
      <c r="C10" s="22">
        <v>33.299999999999997</v>
      </c>
      <c r="D10" s="49">
        <v>1551</v>
      </c>
      <c r="E10" s="40">
        <f t="shared" si="0"/>
        <v>0.92327530625402965</v>
      </c>
    </row>
    <row r="11" spans="2:9">
      <c r="B11" s="21">
        <v>1463</v>
      </c>
      <c r="C11" s="22">
        <v>33.299999999999997</v>
      </c>
      <c r="D11" s="49">
        <v>1551</v>
      </c>
      <c r="E11" s="40">
        <f t="shared" si="0"/>
        <v>0.94326241134751776</v>
      </c>
    </row>
    <row r="12" spans="2:9">
      <c r="B12" s="21">
        <v>1966</v>
      </c>
      <c r="C12" s="22">
        <v>33.4</v>
      </c>
      <c r="D12" s="49">
        <v>1501</v>
      </c>
      <c r="E12" s="40">
        <f t="shared" si="0"/>
        <v>1.3097934710193204</v>
      </c>
    </row>
    <row r="13" spans="2:9">
      <c r="B13" s="21">
        <v>1970</v>
      </c>
      <c r="C13" s="22">
        <v>33.4</v>
      </c>
      <c r="D13" s="49">
        <v>1501</v>
      </c>
      <c r="E13" s="40">
        <f t="shared" si="0"/>
        <v>1.3124583610926048</v>
      </c>
    </row>
    <row r="14" spans="2:9">
      <c r="B14" s="21">
        <v>1984</v>
      </c>
      <c r="C14" s="22">
        <v>27.9</v>
      </c>
      <c r="D14" s="49">
        <v>1397</v>
      </c>
      <c r="E14" s="40">
        <f t="shared" si="0"/>
        <v>1.4201861130994988</v>
      </c>
    </row>
    <row r="15" spans="2:9">
      <c r="B15" s="21">
        <v>1984</v>
      </c>
      <c r="C15" s="22">
        <v>27.9</v>
      </c>
      <c r="D15" s="49">
        <v>1397</v>
      </c>
      <c r="E15" s="40">
        <f t="shared" si="0"/>
        <v>1.4201861130994988</v>
      </c>
    </row>
    <row r="16" spans="2:9">
      <c r="B16" s="24">
        <v>969</v>
      </c>
      <c r="C16" s="46">
        <v>33.4</v>
      </c>
      <c r="D16" s="49">
        <v>971</v>
      </c>
      <c r="E16" s="40">
        <f t="shared" si="0"/>
        <v>0.99794026776519051</v>
      </c>
    </row>
    <row r="17" spans="2:5">
      <c r="B17" s="24">
        <v>1069</v>
      </c>
      <c r="C17" s="46">
        <v>33.4</v>
      </c>
      <c r="D17" s="49">
        <v>1107</v>
      </c>
      <c r="E17" s="40">
        <f t="shared" si="0"/>
        <v>0.96567299006323393</v>
      </c>
    </row>
    <row r="18" spans="2:5">
      <c r="B18" s="24">
        <v>2120</v>
      </c>
      <c r="C18" s="46">
        <v>22.2</v>
      </c>
      <c r="D18" s="49">
        <v>2542</v>
      </c>
      <c r="E18" s="40">
        <f t="shared" si="0"/>
        <v>0.83398898505114083</v>
      </c>
    </row>
    <row r="19" spans="2:5">
      <c r="B19" s="24">
        <v>2060</v>
      </c>
      <c r="C19" s="46">
        <v>22.2</v>
      </c>
      <c r="D19" s="49">
        <v>2542</v>
      </c>
      <c r="E19" s="40">
        <f t="shared" si="0"/>
        <v>0.81038552321007085</v>
      </c>
    </row>
    <row r="20" spans="2:5">
      <c r="B20" s="24">
        <v>2720</v>
      </c>
      <c r="C20" s="46">
        <v>45.4</v>
      </c>
      <c r="D20" s="49">
        <v>2977</v>
      </c>
      <c r="E20" s="40">
        <f t="shared" si="0"/>
        <v>0.91367148135707088</v>
      </c>
    </row>
    <row r="21" spans="2:5">
      <c r="B21" s="24">
        <v>2730</v>
      </c>
      <c r="C21" s="46">
        <v>45.4</v>
      </c>
      <c r="D21" s="49">
        <v>2977</v>
      </c>
      <c r="E21" s="40">
        <f t="shared" si="0"/>
        <v>0.91703056768558955</v>
      </c>
    </row>
    <row r="22" spans="2:5">
      <c r="B22" s="24">
        <v>1410</v>
      </c>
      <c r="C22" s="46">
        <v>22.1</v>
      </c>
      <c r="D22" s="49">
        <v>1692</v>
      </c>
      <c r="E22" s="40">
        <f t="shared" si="0"/>
        <v>0.83333333333333337</v>
      </c>
    </row>
    <row r="23" spans="2:5">
      <c r="B23" s="24">
        <v>1560</v>
      </c>
      <c r="C23" s="46">
        <v>23.9</v>
      </c>
      <c r="D23" s="49">
        <v>1729</v>
      </c>
      <c r="E23" s="40">
        <f t="shared" si="0"/>
        <v>0.90225563909774431</v>
      </c>
    </row>
    <row r="24" spans="2:5">
      <c r="B24" s="24">
        <v>2080</v>
      </c>
      <c r="C24" s="46">
        <v>43.7</v>
      </c>
      <c r="D24" s="49">
        <v>2145</v>
      </c>
      <c r="E24" s="40">
        <f t="shared" si="0"/>
        <v>0.96969696969696972</v>
      </c>
    </row>
    <row r="25" spans="2:5">
      <c r="B25" s="24">
        <v>2070</v>
      </c>
      <c r="C25" s="46">
        <v>43.7</v>
      </c>
      <c r="D25" s="49">
        <v>2145</v>
      </c>
      <c r="E25" s="40">
        <f t="shared" si="0"/>
        <v>0.965034965034965</v>
      </c>
    </row>
    <row r="26" spans="2:5">
      <c r="B26" s="24">
        <v>1220</v>
      </c>
      <c r="C26" s="46">
        <v>23.9</v>
      </c>
      <c r="D26" s="49">
        <v>1225</v>
      </c>
      <c r="E26" s="40">
        <f t="shared" si="0"/>
        <v>0.99591836734693873</v>
      </c>
    </row>
    <row r="27" spans="2:5">
      <c r="B27" s="24">
        <v>1220</v>
      </c>
      <c r="C27" s="46">
        <v>23.9</v>
      </c>
      <c r="D27" s="49">
        <v>1225</v>
      </c>
      <c r="E27" s="40">
        <f t="shared" si="0"/>
        <v>0.99591836734693873</v>
      </c>
    </row>
    <row r="28" spans="2:5">
      <c r="B28" s="24">
        <v>1640</v>
      </c>
      <c r="C28" s="46">
        <v>45.7</v>
      </c>
      <c r="D28" s="49">
        <v>1688</v>
      </c>
      <c r="E28" s="40">
        <f t="shared" si="0"/>
        <v>0.97156398104265407</v>
      </c>
    </row>
    <row r="29" spans="2:5">
      <c r="B29" s="24">
        <v>1710</v>
      </c>
      <c r="C29" s="46">
        <v>45.7</v>
      </c>
      <c r="D29" s="49">
        <v>1688</v>
      </c>
      <c r="E29" s="40">
        <f t="shared" si="0"/>
        <v>1.0130331753554502</v>
      </c>
    </row>
    <row r="30" spans="2:5">
      <c r="B30" s="24">
        <v>2230</v>
      </c>
      <c r="C30" s="46">
        <v>41.5</v>
      </c>
      <c r="D30" s="49">
        <v>2050</v>
      </c>
      <c r="E30" s="40">
        <f t="shared" si="0"/>
        <v>1.0878048780487806</v>
      </c>
    </row>
    <row r="31" spans="2:5">
      <c r="B31" s="24">
        <v>16650</v>
      </c>
      <c r="C31" s="46">
        <v>36</v>
      </c>
      <c r="D31" s="49">
        <v>16563</v>
      </c>
      <c r="E31" s="40">
        <f t="shared" si="0"/>
        <v>1.0052526716174606</v>
      </c>
    </row>
    <row r="32" spans="2:5">
      <c r="B32" s="24">
        <v>18000</v>
      </c>
      <c r="C32" s="46">
        <v>35</v>
      </c>
      <c r="D32" s="49">
        <v>17953</v>
      </c>
      <c r="E32" s="40">
        <f t="shared" si="0"/>
        <v>1.0026179468612488</v>
      </c>
    </row>
    <row r="33" spans="2:5">
      <c r="B33" s="24">
        <v>18600</v>
      </c>
      <c r="C33" s="46">
        <v>34.5</v>
      </c>
      <c r="D33" s="49">
        <v>18585</v>
      </c>
      <c r="E33" s="40">
        <f t="shared" si="0"/>
        <v>1.0008071025020178</v>
      </c>
    </row>
    <row r="34" spans="2:5">
      <c r="B34" s="24">
        <v>20500</v>
      </c>
      <c r="C34" s="46">
        <v>38.4</v>
      </c>
      <c r="D34" s="49">
        <v>20535</v>
      </c>
      <c r="E34" s="40">
        <f t="shared" si="0"/>
        <v>0.99829559289018743</v>
      </c>
    </row>
    <row r="35" spans="2:5">
      <c r="B35" s="24">
        <v>24400</v>
      </c>
      <c r="C35" s="46">
        <v>46</v>
      </c>
      <c r="D35" s="49">
        <v>24478</v>
      </c>
      <c r="E35" s="40">
        <f t="shared" si="0"/>
        <v>0.99681346515238178</v>
      </c>
    </row>
    <row r="36" spans="2:5">
      <c r="B36" s="24">
        <v>15000</v>
      </c>
      <c r="C36" s="46">
        <v>15</v>
      </c>
      <c r="D36" s="49">
        <v>14728</v>
      </c>
      <c r="E36" s="40">
        <f t="shared" si="0"/>
        <v>1.0184682237914178</v>
      </c>
    </row>
    <row r="37" spans="2:5">
      <c r="B37" s="24">
        <v>33600</v>
      </c>
      <c r="C37" s="46">
        <v>45</v>
      </c>
      <c r="D37" s="49">
        <v>33492</v>
      </c>
      <c r="E37" s="40">
        <f t="shared" si="0"/>
        <v>1.0032246506628448</v>
      </c>
    </row>
    <row r="38" spans="2:5">
      <c r="B38" s="24">
        <v>30000</v>
      </c>
      <c r="C38" s="46">
        <v>16.899999999999999</v>
      </c>
      <c r="D38" s="49">
        <v>28980</v>
      </c>
      <c r="E38" s="40">
        <f t="shared" si="0"/>
        <v>1.0351966873706004</v>
      </c>
    </row>
    <row r="39" spans="2:5">
      <c r="B39" s="24">
        <v>46000</v>
      </c>
      <c r="C39" s="46">
        <v>28.9</v>
      </c>
      <c r="D39" s="49">
        <v>45104</v>
      </c>
      <c r="E39" s="40">
        <f t="shared" si="0"/>
        <v>1.019865200425683</v>
      </c>
    </row>
    <row r="40" spans="2:5">
      <c r="B40" s="24">
        <v>1647</v>
      </c>
      <c r="C40" s="46">
        <v>33.200000000000003</v>
      </c>
      <c r="D40" s="49">
        <v>1426</v>
      </c>
      <c r="E40" s="40">
        <f t="shared" si="0"/>
        <v>1.1549789621318374</v>
      </c>
    </row>
    <row r="41" spans="2:5">
      <c r="B41" s="24">
        <v>1033</v>
      </c>
      <c r="C41" s="46">
        <v>33.200000000000003</v>
      </c>
      <c r="D41" s="49">
        <v>856</v>
      </c>
      <c r="E41" s="40">
        <f t="shared" si="0"/>
        <v>1.2067757009345794</v>
      </c>
    </row>
    <row r="42" spans="2:5">
      <c r="B42" s="24">
        <v>602</v>
      </c>
      <c r="C42" s="46">
        <v>33.200000000000003</v>
      </c>
      <c r="D42" s="49">
        <v>505</v>
      </c>
      <c r="E42" s="40">
        <f t="shared" si="0"/>
        <v>1.192079207920792</v>
      </c>
    </row>
    <row r="43" spans="2:5">
      <c r="B43" s="24">
        <v>334</v>
      </c>
      <c r="C43" s="46">
        <v>33.200000000000003</v>
      </c>
      <c r="D43" s="49">
        <v>261</v>
      </c>
      <c r="E43" s="40">
        <f t="shared" si="0"/>
        <v>1.2796934865900382</v>
      </c>
    </row>
    <row r="44" spans="2:5">
      <c r="B44" s="24">
        <v>273</v>
      </c>
      <c r="C44" s="46">
        <v>33.200000000000003</v>
      </c>
      <c r="D44" s="49">
        <v>236</v>
      </c>
      <c r="E44" s="40">
        <f t="shared" si="0"/>
        <v>1.1567796610169492</v>
      </c>
    </row>
    <row r="45" spans="2:5">
      <c r="B45" s="24">
        <v>535</v>
      </c>
      <c r="C45" s="46">
        <v>17.399999999999999</v>
      </c>
      <c r="D45" s="49">
        <v>596</v>
      </c>
      <c r="E45" s="40">
        <f t="shared" si="0"/>
        <v>0.8976510067114094</v>
      </c>
    </row>
    <row r="46" spans="2:5">
      <c r="B46" s="24">
        <v>681</v>
      </c>
      <c r="C46" s="46">
        <v>26.6</v>
      </c>
      <c r="D46" s="49">
        <v>834</v>
      </c>
      <c r="E46" s="40">
        <f t="shared" si="0"/>
        <v>0.81654676258992809</v>
      </c>
    </row>
    <row r="47" spans="2:5">
      <c r="B47" s="24">
        <v>725</v>
      </c>
      <c r="C47" s="46">
        <v>26.6</v>
      </c>
      <c r="D47" s="49">
        <v>952</v>
      </c>
      <c r="E47" s="40">
        <f t="shared" si="0"/>
        <v>0.76155462184873945</v>
      </c>
    </row>
    <row r="48" spans="2:5">
      <c r="B48" s="24">
        <v>872</v>
      </c>
      <c r="C48" s="46">
        <v>26.6</v>
      </c>
      <c r="D48" s="49">
        <v>1094</v>
      </c>
      <c r="E48" s="40">
        <f t="shared" si="0"/>
        <v>0.79707495429616093</v>
      </c>
    </row>
    <row r="49" spans="2:5">
      <c r="B49" s="24">
        <v>1006</v>
      </c>
      <c r="C49" s="46">
        <v>26.6</v>
      </c>
      <c r="D49" s="49">
        <v>1232</v>
      </c>
      <c r="E49" s="40">
        <f t="shared" si="0"/>
        <v>0.81655844155844159</v>
      </c>
    </row>
    <row r="50" spans="2:5">
      <c r="B50" s="24">
        <v>628</v>
      </c>
      <c r="C50" s="46">
        <v>18</v>
      </c>
      <c r="D50" s="49">
        <v>600</v>
      </c>
      <c r="E50" s="40">
        <f t="shared" si="0"/>
        <v>1.0466666666666666</v>
      </c>
    </row>
    <row r="51" spans="2:5">
      <c r="B51" s="24">
        <v>660</v>
      </c>
      <c r="C51" s="46">
        <v>37.4</v>
      </c>
      <c r="D51" s="49">
        <v>731</v>
      </c>
      <c r="E51" s="40">
        <f t="shared" si="0"/>
        <v>0.9028727770177839</v>
      </c>
    </row>
    <row r="52" spans="2:5">
      <c r="B52" s="24">
        <v>954</v>
      </c>
      <c r="C52" s="46">
        <v>18</v>
      </c>
      <c r="D52" s="49">
        <v>923</v>
      </c>
      <c r="E52" s="40">
        <f t="shared" si="0"/>
        <v>1.0335861321776816</v>
      </c>
    </row>
    <row r="53" spans="2:5">
      <c r="B53" s="24">
        <v>971</v>
      </c>
      <c r="C53" s="46">
        <v>37.4</v>
      </c>
      <c r="D53" s="49">
        <v>1039</v>
      </c>
      <c r="E53" s="40">
        <f t="shared" si="0"/>
        <v>0.93455245428296441</v>
      </c>
    </row>
    <row r="54" spans="2:5">
      <c r="B54" s="24">
        <v>239</v>
      </c>
      <c r="C54" s="46">
        <v>18</v>
      </c>
      <c r="D54" s="49">
        <v>205</v>
      </c>
      <c r="E54" s="40">
        <f t="shared" si="0"/>
        <v>1.1658536585365853</v>
      </c>
    </row>
    <row r="55" spans="2:5">
      <c r="B55" s="24">
        <v>396</v>
      </c>
      <c r="C55" s="46">
        <v>37.4</v>
      </c>
      <c r="D55" s="49">
        <v>351</v>
      </c>
      <c r="E55" s="40">
        <f t="shared" si="0"/>
        <v>1.1282051282051282</v>
      </c>
    </row>
    <row r="56" spans="2:5">
      <c r="B56" s="24">
        <v>412</v>
      </c>
      <c r="C56" s="46">
        <v>30.2</v>
      </c>
      <c r="D56" s="49">
        <v>396</v>
      </c>
      <c r="E56" s="40">
        <f t="shared" si="0"/>
        <v>1.0404040404040404</v>
      </c>
    </row>
    <row r="57" spans="2:5">
      <c r="B57" s="24">
        <v>491</v>
      </c>
      <c r="C57" s="46">
        <v>30.2</v>
      </c>
      <c r="D57" s="49">
        <v>513</v>
      </c>
      <c r="E57" s="40">
        <f t="shared" si="0"/>
        <v>0.9571150097465887</v>
      </c>
    </row>
    <row r="58" spans="2:5">
      <c r="B58" s="24">
        <v>489</v>
      </c>
      <c r="C58" s="46">
        <v>48</v>
      </c>
      <c r="D58" s="49">
        <v>487</v>
      </c>
      <c r="E58" s="40">
        <f t="shared" si="0"/>
        <v>1.0041067761806981</v>
      </c>
    </row>
    <row r="59" spans="2:5">
      <c r="B59" s="24">
        <v>605</v>
      </c>
      <c r="C59" s="46">
        <v>48</v>
      </c>
      <c r="D59" s="49">
        <v>601</v>
      </c>
      <c r="E59" s="40">
        <f t="shared" si="0"/>
        <v>1.0066555740432612</v>
      </c>
    </row>
    <row r="60" spans="2:5">
      <c r="B60" s="24">
        <v>1594</v>
      </c>
      <c r="C60" s="46">
        <v>40.9</v>
      </c>
      <c r="D60" s="49">
        <v>1787</v>
      </c>
      <c r="E60" s="40">
        <f t="shared" si="0"/>
        <v>0.89199776161163957</v>
      </c>
    </row>
    <row r="61" spans="2:5">
      <c r="B61" s="24">
        <v>470</v>
      </c>
      <c r="C61" s="46">
        <v>57</v>
      </c>
      <c r="D61" s="49">
        <v>495</v>
      </c>
      <c r="E61" s="40">
        <f t="shared" si="0"/>
        <v>0.9494949494949495</v>
      </c>
    </row>
    <row r="62" spans="2:5">
      <c r="B62" s="24">
        <v>480</v>
      </c>
      <c r="C62" s="46">
        <v>57</v>
      </c>
      <c r="D62" s="49">
        <v>495</v>
      </c>
      <c r="E62" s="40">
        <f t="shared" si="0"/>
        <v>0.96969696969696972</v>
      </c>
    </row>
    <row r="63" spans="2:5">
      <c r="B63" s="24">
        <v>420</v>
      </c>
      <c r="C63" s="46">
        <v>57</v>
      </c>
      <c r="D63" s="49">
        <v>495</v>
      </c>
      <c r="E63" s="40">
        <f t="shared" si="0"/>
        <v>0.84848484848484851</v>
      </c>
    </row>
    <row r="64" spans="2:5">
      <c r="B64" s="24">
        <v>465</v>
      </c>
      <c r="C64" s="46">
        <v>57</v>
      </c>
      <c r="D64" s="49">
        <v>495</v>
      </c>
      <c r="E64" s="40">
        <f t="shared" si="0"/>
        <v>0.93939393939393945</v>
      </c>
    </row>
    <row r="65" spans="2:5">
      <c r="B65" s="24">
        <v>770</v>
      </c>
      <c r="C65" s="46">
        <v>57</v>
      </c>
      <c r="D65" s="49">
        <v>801</v>
      </c>
      <c r="E65" s="40">
        <f t="shared" si="0"/>
        <v>0.96129837702871412</v>
      </c>
    </row>
    <row r="66" spans="2:5">
      <c r="B66" s="24">
        <v>775</v>
      </c>
      <c r="C66" s="46">
        <v>57</v>
      </c>
      <c r="D66" s="49">
        <v>801</v>
      </c>
      <c r="E66" s="40">
        <f t="shared" si="0"/>
        <v>0.96754057428214735</v>
      </c>
    </row>
    <row r="67" spans="2:5">
      <c r="B67" s="24">
        <v>740</v>
      </c>
      <c r="C67" s="46">
        <v>57</v>
      </c>
      <c r="D67" s="49">
        <v>801</v>
      </c>
      <c r="E67" s="40">
        <f t="shared" si="0"/>
        <v>0.92384519350811489</v>
      </c>
    </row>
    <row r="68" spans="2:5">
      <c r="B68" s="24">
        <v>690</v>
      </c>
      <c r="C68" s="46">
        <v>57</v>
      </c>
      <c r="D68" s="49">
        <v>801</v>
      </c>
      <c r="E68" s="40">
        <f t="shared" si="0"/>
        <v>0.86142322097378277</v>
      </c>
    </row>
    <row r="69" spans="2:5">
      <c r="B69" s="24">
        <v>775</v>
      </c>
      <c r="C69" s="46">
        <v>57</v>
      </c>
      <c r="D69" s="49">
        <v>801</v>
      </c>
      <c r="E69" s="40">
        <f t="shared" si="0"/>
        <v>0.96754057428214735</v>
      </c>
    </row>
    <row r="70" spans="2:5">
      <c r="B70" s="24">
        <v>1661.6</v>
      </c>
      <c r="C70" s="46">
        <v>48.3</v>
      </c>
      <c r="D70" s="49">
        <v>1670</v>
      </c>
      <c r="E70" s="40">
        <f t="shared" ref="E70:E133" si="1">B70/D70</f>
        <v>0.99497005988023945</v>
      </c>
    </row>
    <row r="71" spans="2:5">
      <c r="B71" s="24">
        <v>1678.2</v>
      </c>
      <c r="C71" s="46">
        <v>41</v>
      </c>
      <c r="D71" s="49">
        <v>1523</v>
      </c>
      <c r="E71" s="40">
        <f t="shared" si="1"/>
        <v>1.1019041365725541</v>
      </c>
    </row>
    <row r="72" spans="2:5">
      <c r="B72" s="24">
        <v>1694.8</v>
      </c>
      <c r="C72" s="46">
        <v>48.3</v>
      </c>
      <c r="D72" s="49">
        <v>1697</v>
      </c>
      <c r="E72" s="40">
        <f t="shared" si="1"/>
        <v>0.9987035945786682</v>
      </c>
    </row>
    <row r="73" spans="2:5">
      <c r="B73" s="24">
        <v>1376.6</v>
      </c>
      <c r="C73" s="46">
        <v>41</v>
      </c>
      <c r="D73" s="49">
        <v>1306</v>
      </c>
      <c r="E73" s="40">
        <f t="shared" si="1"/>
        <v>1.0540581929555894</v>
      </c>
    </row>
    <row r="74" spans="2:5">
      <c r="B74" s="6">
        <v>1349.9</v>
      </c>
      <c r="C74" s="6">
        <v>41</v>
      </c>
      <c r="D74" s="49">
        <v>1289</v>
      </c>
      <c r="E74" s="40">
        <f t="shared" si="1"/>
        <v>1.0472459270752521</v>
      </c>
    </row>
    <row r="75" spans="2:5">
      <c r="B75" s="6">
        <v>2295</v>
      </c>
      <c r="C75" s="6">
        <v>80.2</v>
      </c>
      <c r="D75" s="49">
        <v>2272</v>
      </c>
      <c r="E75" s="40">
        <f t="shared" si="1"/>
        <v>1.0101232394366197</v>
      </c>
    </row>
    <row r="76" spans="2:5">
      <c r="B76" s="6">
        <v>2592</v>
      </c>
      <c r="C76" s="6">
        <v>74.7</v>
      </c>
      <c r="D76" s="49">
        <v>2413</v>
      </c>
      <c r="E76" s="40">
        <f t="shared" si="1"/>
        <v>1.0741815167840862</v>
      </c>
    </row>
    <row r="77" spans="2:5">
      <c r="B77" s="6">
        <v>2602</v>
      </c>
      <c r="C77" s="6">
        <v>80.2</v>
      </c>
      <c r="D77" s="49">
        <v>2551</v>
      </c>
      <c r="E77" s="40">
        <f t="shared" si="1"/>
        <v>1.0199921599372794</v>
      </c>
    </row>
    <row r="78" spans="2:5">
      <c r="B78" s="6">
        <v>2295</v>
      </c>
      <c r="C78" s="6">
        <v>80.2</v>
      </c>
      <c r="D78" s="49">
        <v>2378</v>
      </c>
      <c r="E78" s="40">
        <f t="shared" si="1"/>
        <v>0.96509671993271662</v>
      </c>
    </row>
    <row r="79" spans="2:5">
      <c r="B79" s="6">
        <v>2451</v>
      </c>
      <c r="C79" s="6">
        <v>74.7</v>
      </c>
      <c r="D79" s="49">
        <v>2216</v>
      </c>
      <c r="E79" s="40">
        <f t="shared" si="1"/>
        <v>1.1060469314079422</v>
      </c>
    </row>
    <row r="80" spans="2:5">
      <c r="B80" s="6">
        <v>2673</v>
      </c>
      <c r="C80" s="6">
        <v>108</v>
      </c>
      <c r="D80" s="49">
        <v>2805</v>
      </c>
      <c r="E80" s="40">
        <f t="shared" si="1"/>
        <v>0.95294117647058818</v>
      </c>
    </row>
    <row r="81" spans="2:5">
      <c r="B81" s="6">
        <v>3360</v>
      </c>
      <c r="C81" s="6">
        <v>108</v>
      </c>
      <c r="D81" s="49">
        <v>3301</v>
      </c>
      <c r="E81" s="40">
        <f t="shared" si="1"/>
        <v>1.0178733717055437</v>
      </c>
    </row>
    <row r="82" spans="2:5">
      <c r="B82" s="6">
        <v>3260</v>
      </c>
      <c r="C82" s="6">
        <v>108</v>
      </c>
      <c r="D82" s="49">
        <v>3301</v>
      </c>
      <c r="E82" s="40">
        <f t="shared" si="1"/>
        <v>0.98757952135716454</v>
      </c>
    </row>
    <row r="83" spans="2:5">
      <c r="B83" s="6">
        <v>3058</v>
      </c>
      <c r="C83" s="6">
        <v>108</v>
      </c>
      <c r="D83" s="49">
        <v>3141</v>
      </c>
      <c r="E83" s="40">
        <f t="shared" si="1"/>
        <v>0.97357529449219993</v>
      </c>
    </row>
    <row r="84" spans="2:5">
      <c r="B84" s="6">
        <v>3070</v>
      </c>
      <c r="C84" s="6">
        <v>108</v>
      </c>
      <c r="D84" s="49">
        <v>3136</v>
      </c>
      <c r="E84" s="40">
        <f t="shared" si="1"/>
        <v>0.97895408163265307</v>
      </c>
    </row>
    <row r="85" spans="2:5">
      <c r="B85" s="24">
        <v>855</v>
      </c>
      <c r="C85" s="46">
        <v>60.75</v>
      </c>
      <c r="D85" s="49">
        <v>888</v>
      </c>
      <c r="E85" s="40">
        <f t="shared" si="1"/>
        <v>0.96283783783783783</v>
      </c>
    </row>
    <row r="86" spans="2:5">
      <c r="B86" s="24">
        <v>1145</v>
      </c>
      <c r="C86" s="46">
        <v>60.75</v>
      </c>
      <c r="D86" s="49">
        <v>1100</v>
      </c>
      <c r="E86" s="40">
        <f t="shared" si="1"/>
        <v>1.040909090909091</v>
      </c>
    </row>
    <row r="87" spans="2:5">
      <c r="B87" s="24">
        <v>1116</v>
      </c>
      <c r="C87" s="46">
        <v>60.75</v>
      </c>
      <c r="D87" s="49">
        <v>1227</v>
      </c>
      <c r="E87" s="40">
        <f t="shared" si="1"/>
        <v>0.90953545232273836</v>
      </c>
    </row>
    <row r="88" spans="2:5">
      <c r="B88" s="24">
        <v>1174</v>
      </c>
      <c r="C88" s="46">
        <v>60.75</v>
      </c>
      <c r="D88" s="49">
        <v>1273</v>
      </c>
      <c r="E88" s="40">
        <f t="shared" si="1"/>
        <v>0.92223095051060489</v>
      </c>
    </row>
    <row r="89" spans="2:5">
      <c r="B89" s="24">
        <v>1250</v>
      </c>
      <c r="C89" s="46">
        <v>60.75</v>
      </c>
      <c r="D89" s="49">
        <v>1177</v>
      </c>
      <c r="E89" s="40">
        <f t="shared" si="1"/>
        <v>1.0620220900594732</v>
      </c>
    </row>
    <row r="90" spans="2:5">
      <c r="B90" s="24">
        <v>1535</v>
      </c>
      <c r="C90" s="46">
        <v>60.75</v>
      </c>
      <c r="D90" s="49">
        <v>1563</v>
      </c>
      <c r="E90" s="40">
        <f t="shared" si="1"/>
        <v>0.98208573256557896</v>
      </c>
    </row>
    <row r="91" spans="2:5">
      <c r="B91" s="24">
        <v>1618</v>
      </c>
      <c r="C91" s="46">
        <v>60.75</v>
      </c>
      <c r="D91" s="49">
        <v>1961</v>
      </c>
      <c r="E91" s="40">
        <f t="shared" si="1"/>
        <v>0.82508924018357976</v>
      </c>
    </row>
    <row r="92" spans="2:5">
      <c r="B92" s="24">
        <v>3123</v>
      </c>
      <c r="C92" s="46">
        <v>60.75</v>
      </c>
      <c r="D92" s="49">
        <v>3030</v>
      </c>
      <c r="E92" s="40">
        <f t="shared" si="1"/>
        <v>1.0306930693069307</v>
      </c>
    </row>
    <row r="93" spans="2:5">
      <c r="B93" s="24">
        <v>2309</v>
      </c>
      <c r="C93" s="46">
        <v>60.75</v>
      </c>
      <c r="D93" s="49">
        <v>2492</v>
      </c>
      <c r="E93" s="40">
        <f t="shared" si="1"/>
        <v>0.9265650080256822</v>
      </c>
    </row>
    <row r="94" spans="2:5">
      <c r="B94" s="45">
        <v>370</v>
      </c>
      <c r="C94" s="47">
        <v>21.9</v>
      </c>
      <c r="D94" s="49">
        <v>356</v>
      </c>
      <c r="E94" s="40">
        <f t="shared" si="1"/>
        <v>1.0393258426966292</v>
      </c>
    </row>
    <row r="95" spans="2:5">
      <c r="B95" s="44">
        <v>485</v>
      </c>
      <c r="C95" s="47">
        <v>21.9</v>
      </c>
      <c r="D95" s="49">
        <v>364</v>
      </c>
      <c r="E95" s="40">
        <f t="shared" si="1"/>
        <v>1.3324175824175823</v>
      </c>
    </row>
    <row r="96" spans="2:5">
      <c r="B96" s="44">
        <v>450</v>
      </c>
      <c r="C96" s="47">
        <v>21.9</v>
      </c>
      <c r="D96" s="49">
        <v>484</v>
      </c>
      <c r="E96" s="40">
        <f t="shared" si="1"/>
        <v>0.92975206611570249</v>
      </c>
    </row>
    <row r="97" spans="2:5">
      <c r="B97" s="44">
        <v>539</v>
      </c>
      <c r="C97" s="48">
        <v>18.399999999999999</v>
      </c>
      <c r="D97" s="49">
        <v>419</v>
      </c>
      <c r="E97" s="40">
        <f t="shared" si="1"/>
        <v>1.2863961813842482</v>
      </c>
    </row>
    <row r="98" spans="2:5">
      <c r="B98" s="44">
        <v>550</v>
      </c>
      <c r="C98" s="48">
        <v>18.399999999999999</v>
      </c>
      <c r="D98" s="49">
        <v>513</v>
      </c>
      <c r="E98" s="40">
        <f t="shared" si="1"/>
        <v>1.0721247563352827</v>
      </c>
    </row>
    <row r="99" spans="2:5">
      <c r="B99" s="44">
        <v>686</v>
      </c>
      <c r="C99" s="48">
        <v>18.399999999999999</v>
      </c>
      <c r="D99" s="49">
        <v>702</v>
      </c>
      <c r="E99" s="40">
        <f t="shared" si="1"/>
        <v>0.97720797720797725</v>
      </c>
    </row>
    <row r="100" spans="2:5">
      <c r="B100" s="44">
        <v>727</v>
      </c>
      <c r="C100" s="48">
        <v>18.399999999999999</v>
      </c>
      <c r="D100" s="49">
        <v>665</v>
      </c>
      <c r="E100" s="40">
        <f t="shared" si="1"/>
        <v>1.0932330827067669</v>
      </c>
    </row>
    <row r="101" spans="2:5">
      <c r="B101" s="44">
        <v>734</v>
      </c>
      <c r="C101" s="48">
        <v>18.399999999999999</v>
      </c>
      <c r="D101" s="49">
        <v>665</v>
      </c>
      <c r="E101" s="40">
        <f t="shared" si="1"/>
        <v>1.1037593984962406</v>
      </c>
    </row>
    <row r="102" spans="2:5">
      <c r="B102" s="44">
        <v>803</v>
      </c>
      <c r="C102" s="48">
        <v>18.399999999999999</v>
      </c>
      <c r="D102" s="49">
        <v>665</v>
      </c>
      <c r="E102" s="40">
        <f t="shared" si="1"/>
        <v>1.2075187969924812</v>
      </c>
    </row>
    <row r="103" spans="2:5">
      <c r="B103" s="44">
        <v>981</v>
      </c>
      <c r="C103" s="48">
        <v>18.399999999999999</v>
      </c>
      <c r="D103" s="49">
        <v>792</v>
      </c>
      <c r="E103" s="40">
        <f t="shared" si="1"/>
        <v>1.2386363636363635</v>
      </c>
    </row>
    <row r="104" spans="2:5">
      <c r="B104" s="44">
        <v>1294</v>
      </c>
      <c r="C104" s="48">
        <v>18.399999999999999</v>
      </c>
      <c r="D104" s="49">
        <v>997</v>
      </c>
      <c r="E104" s="40">
        <f t="shared" si="1"/>
        <v>1.2978936810431294</v>
      </c>
    </row>
    <row r="105" spans="2:5">
      <c r="B105" s="44">
        <v>1300</v>
      </c>
      <c r="C105" s="48">
        <v>23</v>
      </c>
      <c r="D105" s="49">
        <v>1082</v>
      </c>
      <c r="E105" s="40">
        <f t="shared" si="1"/>
        <v>1.201478743068392</v>
      </c>
    </row>
    <row r="106" spans="2:5">
      <c r="B106" s="44">
        <v>1577</v>
      </c>
      <c r="C106" s="48">
        <v>21.9</v>
      </c>
      <c r="D106" s="49">
        <v>1713</v>
      </c>
      <c r="E106" s="40">
        <f t="shared" si="1"/>
        <v>0.92060712200817285</v>
      </c>
    </row>
    <row r="107" spans="2:5">
      <c r="B107" s="44">
        <v>1775</v>
      </c>
      <c r="C107" s="48">
        <v>21.9</v>
      </c>
      <c r="D107" s="49">
        <v>1761</v>
      </c>
      <c r="E107" s="40">
        <f t="shared" si="1"/>
        <v>1.0079500283929586</v>
      </c>
    </row>
    <row r="108" spans="2:5">
      <c r="B108" s="44">
        <v>1746</v>
      </c>
      <c r="C108" s="48">
        <v>21.9</v>
      </c>
      <c r="D108" s="49">
        <v>1683</v>
      </c>
      <c r="E108" s="40">
        <f t="shared" si="1"/>
        <v>1.0374331550802138</v>
      </c>
    </row>
    <row r="109" spans="2:5">
      <c r="B109" s="44">
        <v>3579</v>
      </c>
      <c r="C109" s="48">
        <v>21.9</v>
      </c>
      <c r="D109" s="49">
        <v>2930</v>
      </c>
      <c r="E109" s="40">
        <f t="shared" si="1"/>
        <v>1.2215017064846416</v>
      </c>
    </row>
    <row r="110" spans="2:5">
      <c r="B110" s="44">
        <v>3789</v>
      </c>
      <c r="C110" s="48">
        <v>21.9</v>
      </c>
      <c r="D110" s="49">
        <v>3010</v>
      </c>
      <c r="E110" s="40">
        <f t="shared" si="1"/>
        <v>1.2588039867109635</v>
      </c>
    </row>
    <row r="111" spans="2:5">
      <c r="B111" s="44">
        <v>3357</v>
      </c>
      <c r="C111" s="48">
        <v>21.9</v>
      </c>
      <c r="D111" s="49">
        <v>2908</v>
      </c>
      <c r="E111" s="40">
        <f t="shared" si="1"/>
        <v>1.154401650618982</v>
      </c>
    </row>
    <row r="112" spans="2:5">
      <c r="B112" s="44">
        <v>840</v>
      </c>
      <c r="C112" s="48">
        <v>42.7</v>
      </c>
      <c r="D112" s="49">
        <v>722</v>
      </c>
      <c r="E112" s="40">
        <f t="shared" si="1"/>
        <v>1.1634349030470914</v>
      </c>
    </row>
    <row r="113" spans="2:5">
      <c r="B113" s="44">
        <v>1141</v>
      </c>
      <c r="C113" s="48">
        <v>42.7</v>
      </c>
      <c r="D113" s="49">
        <v>955</v>
      </c>
      <c r="E113" s="40">
        <f t="shared" si="1"/>
        <v>1.1947643979057592</v>
      </c>
    </row>
    <row r="114" spans="2:5">
      <c r="B114" s="44">
        <v>1091</v>
      </c>
      <c r="C114" s="48">
        <v>42.7</v>
      </c>
      <c r="D114" s="49">
        <v>954</v>
      </c>
      <c r="E114" s="40">
        <f t="shared" si="1"/>
        <v>1.1436058700209644</v>
      </c>
    </row>
    <row r="115" spans="2:5">
      <c r="B115" s="44">
        <v>1139</v>
      </c>
      <c r="C115" s="48">
        <v>42.7</v>
      </c>
      <c r="D115" s="49">
        <v>955</v>
      </c>
      <c r="E115" s="40">
        <f t="shared" si="1"/>
        <v>1.1926701570680629</v>
      </c>
    </row>
    <row r="116" spans="2:5">
      <c r="B116" s="44">
        <v>1041</v>
      </c>
      <c r="C116" s="48">
        <v>42.7</v>
      </c>
      <c r="D116" s="49">
        <v>1085</v>
      </c>
      <c r="E116" s="40">
        <f t="shared" si="1"/>
        <v>0.95944700460829491</v>
      </c>
    </row>
    <row r="117" spans="2:5">
      <c r="B117" s="44">
        <v>1110</v>
      </c>
      <c r="C117" s="48">
        <v>42.7</v>
      </c>
      <c r="D117" s="49">
        <v>1084</v>
      </c>
      <c r="E117" s="40">
        <f t="shared" si="1"/>
        <v>1.0239852398523985</v>
      </c>
    </row>
    <row r="118" spans="2:5">
      <c r="B118" s="44">
        <v>1030</v>
      </c>
      <c r="C118" s="48">
        <v>42.7</v>
      </c>
      <c r="D118" s="49">
        <v>1081</v>
      </c>
      <c r="E118" s="40">
        <f t="shared" si="1"/>
        <v>0.95282146160962067</v>
      </c>
    </row>
    <row r="119" spans="2:5">
      <c r="B119" s="44">
        <v>1122</v>
      </c>
      <c r="C119" s="48">
        <v>42.7</v>
      </c>
      <c r="D119" s="49">
        <v>1132</v>
      </c>
      <c r="E119" s="40">
        <f t="shared" si="1"/>
        <v>0.99116607773851595</v>
      </c>
    </row>
    <row r="120" spans="2:5">
      <c r="B120" s="44">
        <v>1234</v>
      </c>
      <c r="C120" s="48">
        <v>42.7</v>
      </c>
      <c r="D120" s="49">
        <v>1138</v>
      </c>
      <c r="E120" s="40">
        <f t="shared" si="1"/>
        <v>1.0843585237258349</v>
      </c>
    </row>
    <row r="121" spans="2:5">
      <c r="B121" s="44">
        <v>1102</v>
      </c>
      <c r="C121" s="48">
        <v>42.7</v>
      </c>
      <c r="D121" s="49">
        <v>1140</v>
      </c>
      <c r="E121" s="40">
        <f t="shared" si="1"/>
        <v>0.96666666666666667</v>
      </c>
    </row>
    <row r="122" spans="2:5">
      <c r="B122" s="44">
        <v>1140</v>
      </c>
      <c r="C122" s="48">
        <v>42.7</v>
      </c>
      <c r="D122" s="49">
        <v>1132</v>
      </c>
      <c r="E122" s="40">
        <f t="shared" si="1"/>
        <v>1.0070671378091873</v>
      </c>
    </row>
    <row r="123" spans="2:5">
      <c r="B123" s="44">
        <v>1240</v>
      </c>
      <c r="C123" s="48">
        <v>42.7</v>
      </c>
      <c r="D123" s="49">
        <v>964</v>
      </c>
      <c r="E123" s="40">
        <f t="shared" si="1"/>
        <v>1.2863070539419088</v>
      </c>
    </row>
    <row r="124" spans="2:5">
      <c r="B124" s="44">
        <v>1440</v>
      </c>
      <c r="C124" s="48">
        <v>42.7</v>
      </c>
      <c r="D124" s="49">
        <v>1369</v>
      </c>
      <c r="E124" s="40">
        <f t="shared" si="1"/>
        <v>1.0518626734842951</v>
      </c>
    </row>
    <row r="125" spans="2:5">
      <c r="B125" s="6">
        <v>699.7</v>
      </c>
      <c r="C125" s="6">
        <v>18.7</v>
      </c>
      <c r="D125" s="49">
        <v>518</v>
      </c>
      <c r="E125" s="40">
        <f t="shared" si="1"/>
        <v>1.3507722007722009</v>
      </c>
    </row>
    <row r="126" spans="2:5">
      <c r="B126" s="6">
        <v>815.4</v>
      </c>
      <c r="C126" s="6">
        <v>18.7</v>
      </c>
      <c r="D126" s="49">
        <v>703</v>
      </c>
      <c r="E126" s="40">
        <f t="shared" si="1"/>
        <v>1.1598862019914651</v>
      </c>
    </row>
    <row r="127" spans="2:5">
      <c r="B127" s="6">
        <v>907.5</v>
      </c>
      <c r="C127" s="6">
        <v>18.7</v>
      </c>
      <c r="D127" s="49">
        <v>811</v>
      </c>
      <c r="E127" s="40">
        <f t="shared" si="1"/>
        <v>1.1189889025893958</v>
      </c>
    </row>
    <row r="128" spans="2:5">
      <c r="B128" s="6">
        <v>5576</v>
      </c>
      <c r="C128" s="6">
        <v>29.62</v>
      </c>
      <c r="D128" s="49">
        <v>4333</v>
      </c>
      <c r="E128" s="40">
        <f t="shared" si="1"/>
        <v>1.2868682206323563</v>
      </c>
    </row>
    <row r="129" spans="2:5">
      <c r="B129" s="6">
        <v>5194</v>
      </c>
      <c r="C129" s="6">
        <v>40.28</v>
      </c>
      <c r="D129" s="49">
        <v>4841</v>
      </c>
      <c r="E129" s="40">
        <f t="shared" si="1"/>
        <v>1.0729188184259451</v>
      </c>
    </row>
    <row r="130" spans="2:5">
      <c r="B130" s="6">
        <v>5292</v>
      </c>
      <c r="C130" s="6">
        <v>40.28</v>
      </c>
      <c r="D130" s="49">
        <v>4841</v>
      </c>
      <c r="E130" s="40">
        <f t="shared" si="1"/>
        <v>1.0931625697170007</v>
      </c>
    </row>
    <row r="131" spans="2:5">
      <c r="B131" s="6">
        <v>1294</v>
      </c>
      <c r="C131" s="6">
        <v>28.45</v>
      </c>
      <c r="D131" s="49">
        <v>1310</v>
      </c>
      <c r="E131" s="40">
        <f t="shared" si="1"/>
        <v>0.98778625954198473</v>
      </c>
    </row>
    <row r="132" spans="2:5">
      <c r="B132" s="6">
        <v>1637</v>
      </c>
      <c r="C132" s="6">
        <v>39.53</v>
      </c>
      <c r="D132" s="49">
        <v>1645</v>
      </c>
      <c r="E132" s="40">
        <f t="shared" si="1"/>
        <v>0.9951367781155015</v>
      </c>
    </row>
    <row r="133" spans="2:5">
      <c r="B133" s="6">
        <v>1691</v>
      </c>
      <c r="C133" s="6">
        <v>40.28</v>
      </c>
      <c r="D133" s="49">
        <v>1667</v>
      </c>
      <c r="E133" s="40">
        <f t="shared" si="1"/>
        <v>1.0143971205758848</v>
      </c>
    </row>
    <row r="134" spans="2:5">
      <c r="B134" s="6">
        <v>1044</v>
      </c>
      <c r="C134" s="6">
        <v>28.45</v>
      </c>
      <c r="D134" s="49">
        <v>889</v>
      </c>
      <c r="E134" s="40">
        <f t="shared" ref="E134:E197" si="2">B134/D134</f>
        <v>1.1743532058492689</v>
      </c>
    </row>
    <row r="135" spans="2:5">
      <c r="B135" s="6">
        <v>1166</v>
      </c>
      <c r="C135" s="6">
        <v>28.45</v>
      </c>
      <c r="D135" s="49">
        <v>889</v>
      </c>
      <c r="E135" s="40">
        <f t="shared" si="2"/>
        <v>1.311586051743532</v>
      </c>
    </row>
    <row r="136" spans="2:5">
      <c r="B136" s="6">
        <v>1176</v>
      </c>
      <c r="C136" s="6">
        <v>39.53</v>
      </c>
      <c r="D136" s="49">
        <v>974</v>
      </c>
      <c r="E136" s="40">
        <f t="shared" si="2"/>
        <v>1.2073921971252566</v>
      </c>
    </row>
    <row r="137" spans="2:5">
      <c r="B137" s="6">
        <v>1171</v>
      </c>
      <c r="C137" s="6">
        <v>39.53</v>
      </c>
      <c r="D137" s="49">
        <v>974</v>
      </c>
      <c r="E137" s="40">
        <f t="shared" si="2"/>
        <v>1.2022587268993841</v>
      </c>
    </row>
    <row r="138" spans="2:5">
      <c r="B138" s="6">
        <v>1073</v>
      </c>
      <c r="C138" s="6">
        <v>39.53</v>
      </c>
      <c r="D138" s="49">
        <v>974</v>
      </c>
      <c r="E138" s="40">
        <f t="shared" si="2"/>
        <v>1.1016427104722792</v>
      </c>
    </row>
    <row r="139" spans="2:5">
      <c r="B139" s="6">
        <v>1122</v>
      </c>
      <c r="C139" s="6">
        <v>39.53</v>
      </c>
      <c r="D139" s="49">
        <v>971</v>
      </c>
      <c r="E139" s="40">
        <f t="shared" si="2"/>
        <v>1.1555097837281154</v>
      </c>
    </row>
    <row r="140" spans="2:5">
      <c r="B140" s="6">
        <v>1744</v>
      </c>
      <c r="C140" s="6">
        <v>26.56</v>
      </c>
      <c r="D140" s="49">
        <v>1475</v>
      </c>
      <c r="E140" s="40">
        <f t="shared" si="2"/>
        <v>1.1823728813559322</v>
      </c>
    </row>
    <row r="141" spans="2:5">
      <c r="B141" s="6">
        <v>1695</v>
      </c>
      <c r="C141" s="6">
        <v>26.56</v>
      </c>
      <c r="D141" s="49">
        <v>1475</v>
      </c>
      <c r="E141" s="40">
        <f t="shared" si="2"/>
        <v>1.1491525423728814</v>
      </c>
    </row>
    <row r="142" spans="2:5">
      <c r="B142" s="6">
        <v>1862</v>
      </c>
      <c r="C142" s="6">
        <v>29.62</v>
      </c>
      <c r="D142" s="49">
        <v>1528</v>
      </c>
      <c r="E142" s="40">
        <f t="shared" si="2"/>
        <v>1.2185863874345551</v>
      </c>
    </row>
    <row r="143" spans="2:5">
      <c r="B143" s="6">
        <v>1872</v>
      </c>
      <c r="C143" s="6">
        <v>29.62</v>
      </c>
      <c r="D143" s="49">
        <v>1528</v>
      </c>
      <c r="E143" s="40">
        <f t="shared" si="2"/>
        <v>1.2251308900523561</v>
      </c>
    </row>
    <row r="144" spans="2:5">
      <c r="B144" s="6">
        <v>1695</v>
      </c>
      <c r="C144" s="6">
        <v>29.62</v>
      </c>
      <c r="D144" s="49">
        <v>1528</v>
      </c>
      <c r="E144" s="40">
        <f t="shared" si="2"/>
        <v>1.1092931937172774</v>
      </c>
    </row>
    <row r="145" spans="2:5">
      <c r="B145" s="6">
        <v>1735</v>
      </c>
      <c r="C145" s="6">
        <v>29.62</v>
      </c>
      <c r="D145" s="49">
        <v>1528</v>
      </c>
      <c r="E145" s="40">
        <f t="shared" si="2"/>
        <v>1.1354712041884816</v>
      </c>
    </row>
    <row r="146" spans="2:5">
      <c r="B146" s="6">
        <v>2029</v>
      </c>
      <c r="C146" s="6">
        <v>29.62</v>
      </c>
      <c r="D146" s="49">
        <v>1528</v>
      </c>
      <c r="E146" s="40">
        <f t="shared" si="2"/>
        <v>1.3278795811518325</v>
      </c>
    </row>
    <row r="147" spans="2:5">
      <c r="B147" s="6">
        <v>2107</v>
      </c>
      <c r="C147" s="6">
        <v>29.62</v>
      </c>
      <c r="D147" s="49">
        <v>1528</v>
      </c>
      <c r="E147" s="40">
        <f t="shared" si="2"/>
        <v>1.3789267015706805</v>
      </c>
    </row>
    <row r="148" spans="2:5">
      <c r="B148" s="6">
        <v>2421</v>
      </c>
      <c r="C148" s="6">
        <v>28.45</v>
      </c>
      <c r="D148" s="49">
        <v>1717</v>
      </c>
      <c r="E148" s="40">
        <f t="shared" si="2"/>
        <v>1.4100174723354688</v>
      </c>
    </row>
    <row r="149" spans="2:5">
      <c r="B149" s="6">
        <v>2587</v>
      </c>
      <c r="C149" s="6">
        <v>40.28</v>
      </c>
      <c r="D149" s="49">
        <v>1797</v>
      </c>
      <c r="E149" s="40">
        <f t="shared" si="2"/>
        <v>1.4396215915414581</v>
      </c>
    </row>
    <row r="150" spans="2:5">
      <c r="B150" s="6">
        <v>1784</v>
      </c>
      <c r="C150" s="6">
        <v>29.62</v>
      </c>
      <c r="D150" s="49">
        <v>1669</v>
      </c>
      <c r="E150" s="40">
        <f t="shared" si="2"/>
        <v>1.0689035350509286</v>
      </c>
    </row>
    <row r="151" spans="2:5">
      <c r="B151" s="6">
        <v>2038</v>
      </c>
      <c r="C151" s="6">
        <v>29.62</v>
      </c>
      <c r="D151" s="49">
        <v>1669</v>
      </c>
      <c r="E151" s="40">
        <f t="shared" si="2"/>
        <v>1.2210904733373278</v>
      </c>
    </row>
    <row r="152" spans="2:5">
      <c r="B152" s="6">
        <v>1999</v>
      </c>
      <c r="C152" s="6">
        <v>29.62</v>
      </c>
      <c r="D152" s="49">
        <v>1597</v>
      </c>
      <c r="E152" s="40">
        <f t="shared" si="2"/>
        <v>1.2517219787100815</v>
      </c>
    </row>
    <row r="153" spans="2:5">
      <c r="B153" s="6">
        <v>2043</v>
      </c>
      <c r="C153" s="6">
        <v>29.62</v>
      </c>
      <c r="D153" s="49">
        <v>1597</v>
      </c>
      <c r="E153" s="40">
        <f t="shared" si="2"/>
        <v>1.2792736380713838</v>
      </c>
    </row>
    <row r="154" spans="2:5">
      <c r="B154" s="6">
        <v>1975</v>
      </c>
      <c r="C154" s="6">
        <v>29.62</v>
      </c>
      <c r="D154" s="49">
        <v>1528</v>
      </c>
      <c r="E154" s="40">
        <f t="shared" si="2"/>
        <v>1.2925392670157068</v>
      </c>
    </row>
    <row r="155" spans="2:5">
      <c r="B155" s="6">
        <v>7909</v>
      </c>
      <c r="C155" s="6">
        <v>46.57</v>
      </c>
      <c r="D155" s="49">
        <v>6464</v>
      </c>
      <c r="E155" s="40">
        <f t="shared" si="2"/>
        <v>1.2235457920792079</v>
      </c>
    </row>
    <row r="156" spans="2:5">
      <c r="B156" s="6">
        <v>5900</v>
      </c>
      <c r="C156" s="6">
        <v>46.57</v>
      </c>
      <c r="D156" s="49">
        <v>6321</v>
      </c>
      <c r="E156" s="40">
        <f t="shared" si="2"/>
        <v>0.93339661445973743</v>
      </c>
    </row>
    <row r="157" spans="2:5">
      <c r="B157" s="6">
        <v>5890</v>
      </c>
      <c r="C157" s="6">
        <v>46.57</v>
      </c>
      <c r="D157" s="49">
        <v>6260</v>
      </c>
      <c r="E157" s="40">
        <f t="shared" si="2"/>
        <v>0.9408945686900958</v>
      </c>
    </row>
    <row r="158" spans="2:5">
      <c r="B158" s="6">
        <v>6380</v>
      </c>
      <c r="C158" s="6">
        <v>46.57</v>
      </c>
      <c r="D158" s="49">
        <v>6260</v>
      </c>
      <c r="E158" s="40">
        <f t="shared" si="2"/>
        <v>1.0191693290734825</v>
      </c>
    </row>
    <row r="159" spans="2:5">
      <c r="B159" s="6">
        <v>1117.2</v>
      </c>
      <c r="C159" s="6">
        <v>28.99</v>
      </c>
      <c r="D159" s="49">
        <v>871</v>
      </c>
      <c r="E159" s="40">
        <f t="shared" si="2"/>
        <v>1.2826636050516649</v>
      </c>
    </row>
    <row r="160" spans="2:5">
      <c r="B160" s="6">
        <v>1058.4000000000001</v>
      </c>
      <c r="C160" s="6">
        <v>28.99</v>
      </c>
      <c r="D160" s="49">
        <v>871</v>
      </c>
      <c r="E160" s="40">
        <f t="shared" si="2"/>
        <v>1.2151549942594719</v>
      </c>
    </row>
    <row r="161" spans="2:5">
      <c r="B161" s="6">
        <v>1073.0999999999999</v>
      </c>
      <c r="C161" s="6">
        <v>28.99</v>
      </c>
      <c r="D161" s="49">
        <v>871</v>
      </c>
      <c r="E161" s="40">
        <f t="shared" si="2"/>
        <v>1.2320321469575199</v>
      </c>
    </row>
    <row r="162" spans="2:5">
      <c r="B162" s="6">
        <v>1275</v>
      </c>
      <c r="C162" s="6">
        <v>106.02</v>
      </c>
      <c r="D162" s="49">
        <v>1374</v>
      </c>
      <c r="E162" s="40">
        <f t="shared" si="2"/>
        <v>0.92794759825327511</v>
      </c>
    </row>
    <row r="163" spans="2:5">
      <c r="B163" s="6">
        <v>1239</v>
      </c>
      <c r="C163" s="6">
        <v>106.02</v>
      </c>
      <c r="D163" s="49">
        <v>1374</v>
      </c>
      <c r="E163" s="40">
        <f t="shared" si="2"/>
        <v>0.90174672489082974</v>
      </c>
    </row>
    <row r="164" spans="2:5">
      <c r="B164" s="6">
        <v>1491</v>
      </c>
      <c r="C164" s="6">
        <v>106.02</v>
      </c>
      <c r="D164" s="49">
        <v>1521</v>
      </c>
      <c r="E164" s="40">
        <f t="shared" si="2"/>
        <v>0.98027613412228798</v>
      </c>
    </row>
    <row r="165" spans="2:5">
      <c r="B165" s="6">
        <v>1339</v>
      </c>
      <c r="C165" s="6">
        <v>106.02</v>
      </c>
      <c r="D165" s="49">
        <v>1521</v>
      </c>
      <c r="E165" s="40">
        <f t="shared" si="2"/>
        <v>0.88034188034188032</v>
      </c>
    </row>
    <row r="166" spans="2:5">
      <c r="B166" s="6">
        <v>1995</v>
      </c>
      <c r="C166" s="6">
        <v>106.02</v>
      </c>
      <c r="D166" s="49">
        <v>1971</v>
      </c>
      <c r="E166" s="40">
        <f t="shared" si="2"/>
        <v>1.0121765601217656</v>
      </c>
    </row>
    <row r="167" spans="2:5">
      <c r="B167" s="6">
        <v>1991</v>
      </c>
      <c r="C167" s="6">
        <v>106.02</v>
      </c>
      <c r="D167" s="49">
        <v>1971</v>
      </c>
      <c r="E167" s="40">
        <f t="shared" si="2"/>
        <v>1.0101471334348047</v>
      </c>
    </row>
    <row r="168" spans="2:5">
      <c r="B168" s="6">
        <v>1962</v>
      </c>
      <c r="C168" s="6">
        <v>106.02</v>
      </c>
      <c r="D168" s="49">
        <v>1971</v>
      </c>
      <c r="E168" s="40">
        <f t="shared" si="2"/>
        <v>0.99543378995433784</v>
      </c>
    </row>
    <row r="169" spans="2:5">
      <c r="B169" s="6">
        <v>2273</v>
      </c>
      <c r="C169" s="6">
        <v>106.02</v>
      </c>
      <c r="D169" s="49">
        <v>2139</v>
      </c>
      <c r="E169" s="40">
        <f t="shared" si="2"/>
        <v>1.0626460963066853</v>
      </c>
    </row>
    <row r="170" spans="2:5">
      <c r="B170" s="6">
        <v>2158</v>
      </c>
      <c r="C170" s="6">
        <v>106.02</v>
      </c>
      <c r="D170" s="49">
        <v>2139</v>
      </c>
      <c r="E170" s="40">
        <f t="shared" si="2"/>
        <v>1.0088826554464703</v>
      </c>
    </row>
    <row r="171" spans="2:5">
      <c r="B171" s="6">
        <v>2253</v>
      </c>
      <c r="C171" s="6">
        <v>106.02</v>
      </c>
      <c r="D171" s="49">
        <v>2139</v>
      </c>
      <c r="E171" s="40">
        <f t="shared" si="2"/>
        <v>1.0532959326788218</v>
      </c>
    </row>
    <row r="172" spans="2:5">
      <c r="B172" s="6">
        <v>3404</v>
      </c>
      <c r="C172" s="6">
        <v>106.02</v>
      </c>
      <c r="D172" s="49">
        <v>2502</v>
      </c>
      <c r="E172" s="40">
        <f t="shared" si="2"/>
        <v>1.3605115907274181</v>
      </c>
    </row>
    <row r="173" spans="2:5">
      <c r="B173" s="6">
        <v>3370</v>
      </c>
      <c r="C173" s="6">
        <v>106.02</v>
      </c>
      <c r="D173" s="49">
        <v>2502</v>
      </c>
      <c r="E173" s="40">
        <f t="shared" si="2"/>
        <v>1.3469224620303757</v>
      </c>
    </row>
    <row r="174" spans="2:5">
      <c r="B174" s="6">
        <v>3364</v>
      </c>
      <c r="C174" s="6">
        <v>106.02</v>
      </c>
      <c r="D174" s="49">
        <v>2502</v>
      </c>
      <c r="E174" s="40">
        <f t="shared" si="2"/>
        <v>1.3445243804956035</v>
      </c>
    </row>
    <row r="175" spans="2:5">
      <c r="B175" s="6">
        <v>828</v>
      </c>
      <c r="C175" s="6">
        <v>45.77</v>
      </c>
      <c r="D175" s="49">
        <v>796</v>
      </c>
      <c r="E175" s="40">
        <f t="shared" si="2"/>
        <v>1.0402010050251256</v>
      </c>
    </row>
    <row r="176" spans="2:5">
      <c r="B176" s="6">
        <v>777</v>
      </c>
      <c r="C176" s="6">
        <v>35.17</v>
      </c>
      <c r="D176" s="49">
        <v>802</v>
      </c>
      <c r="E176" s="40">
        <f t="shared" si="2"/>
        <v>0.96882793017456359</v>
      </c>
    </row>
    <row r="177" spans="2:5">
      <c r="B177" s="6">
        <v>1637</v>
      </c>
      <c r="C177" s="6">
        <v>26.56</v>
      </c>
      <c r="D177" s="49">
        <v>1467</v>
      </c>
      <c r="E177" s="40">
        <f t="shared" si="2"/>
        <v>1.1158827539195637</v>
      </c>
    </row>
    <row r="178" spans="2:5">
      <c r="B178" s="6">
        <v>670</v>
      </c>
      <c r="C178" s="6">
        <v>34.85</v>
      </c>
      <c r="D178" s="49">
        <v>526</v>
      </c>
      <c r="E178" s="40">
        <f t="shared" si="2"/>
        <v>1.273764258555133</v>
      </c>
    </row>
    <row r="179" spans="2:5">
      <c r="B179" s="6">
        <v>537</v>
      </c>
      <c r="C179" s="6">
        <v>34.85</v>
      </c>
      <c r="D179" s="49">
        <v>470</v>
      </c>
      <c r="E179" s="40">
        <f t="shared" si="2"/>
        <v>1.1425531914893616</v>
      </c>
    </row>
    <row r="180" spans="2:5">
      <c r="B180" s="6">
        <v>505</v>
      </c>
      <c r="C180" s="6">
        <v>34.85</v>
      </c>
      <c r="D180" s="49">
        <v>419</v>
      </c>
      <c r="E180" s="40">
        <f t="shared" si="2"/>
        <v>1.2052505966587113</v>
      </c>
    </row>
    <row r="181" spans="2:5">
      <c r="B181" s="6">
        <v>538</v>
      </c>
      <c r="C181" s="6">
        <v>23.37</v>
      </c>
      <c r="D181" s="49">
        <v>464</v>
      </c>
      <c r="E181" s="40">
        <f t="shared" si="2"/>
        <v>1.1594827586206897</v>
      </c>
    </row>
    <row r="182" spans="2:5">
      <c r="B182" s="6">
        <v>970</v>
      </c>
      <c r="C182" s="6">
        <v>41.17</v>
      </c>
      <c r="D182" s="49">
        <v>947</v>
      </c>
      <c r="E182" s="40">
        <f t="shared" si="2"/>
        <v>1.0242872228088702</v>
      </c>
    </row>
    <row r="183" spans="2:5">
      <c r="B183" s="6">
        <v>828</v>
      </c>
      <c r="C183" s="6">
        <v>48.35</v>
      </c>
      <c r="D183" s="49">
        <v>813</v>
      </c>
      <c r="E183" s="40">
        <f t="shared" si="2"/>
        <v>1.018450184501845</v>
      </c>
    </row>
    <row r="184" spans="2:5">
      <c r="B184" s="6">
        <v>1637</v>
      </c>
      <c r="C184" s="6">
        <v>27.82</v>
      </c>
      <c r="D184" s="49">
        <v>1507</v>
      </c>
      <c r="E184" s="40">
        <f t="shared" si="2"/>
        <v>1.086264100862641</v>
      </c>
    </row>
    <row r="185" spans="2:5">
      <c r="B185" s="6">
        <v>670</v>
      </c>
      <c r="C185" s="6">
        <v>36.19</v>
      </c>
      <c r="D185" s="49">
        <v>535</v>
      </c>
      <c r="E185" s="40">
        <f t="shared" si="2"/>
        <v>1.2523364485981308</v>
      </c>
    </row>
    <row r="186" spans="2:5">
      <c r="B186" s="6">
        <v>505</v>
      </c>
      <c r="C186" s="6">
        <v>36.19</v>
      </c>
      <c r="D186" s="49">
        <v>429</v>
      </c>
      <c r="E186" s="40">
        <f t="shared" si="2"/>
        <v>1.1771561771561772</v>
      </c>
    </row>
    <row r="187" spans="2:5">
      <c r="B187" s="6">
        <v>537</v>
      </c>
      <c r="C187" s="6">
        <v>36.19</v>
      </c>
      <c r="D187" s="49">
        <v>480</v>
      </c>
      <c r="E187" s="40">
        <f t="shared" si="2"/>
        <v>1.1187499999999999</v>
      </c>
    </row>
    <row r="188" spans="2:5">
      <c r="B188" s="6">
        <v>848</v>
      </c>
      <c r="C188" s="6">
        <v>43.21</v>
      </c>
      <c r="D188" s="49">
        <v>775</v>
      </c>
      <c r="E188" s="40">
        <f t="shared" si="2"/>
        <v>1.0941935483870968</v>
      </c>
    </row>
    <row r="189" spans="2:5">
      <c r="B189" s="6">
        <v>1080</v>
      </c>
      <c r="C189" s="6">
        <v>32.68</v>
      </c>
      <c r="D189" s="49">
        <v>1189</v>
      </c>
      <c r="E189" s="40">
        <f t="shared" si="2"/>
        <v>0.9083263246425568</v>
      </c>
    </row>
    <row r="190" spans="2:5">
      <c r="B190" s="6">
        <v>1191</v>
      </c>
      <c r="C190" s="6">
        <v>21.54</v>
      </c>
      <c r="D190" s="49">
        <v>1354</v>
      </c>
      <c r="E190" s="40">
        <f t="shared" si="2"/>
        <v>0.87961595273264404</v>
      </c>
    </row>
    <row r="191" spans="2:5">
      <c r="B191" s="6">
        <v>344</v>
      </c>
      <c r="C191" s="6">
        <v>24.37</v>
      </c>
      <c r="D191" s="49">
        <v>334</v>
      </c>
      <c r="E191" s="40">
        <f t="shared" si="2"/>
        <v>1.0299401197604789</v>
      </c>
    </row>
    <row r="192" spans="2:5">
      <c r="B192" s="6">
        <v>2636</v>
      </c>
      <c r="C192" s="6">
        <v>9.9</v>
      </c>
      <c r="D192" s="49">
        <v>1867</v>
      </c>
      <c r="E192" s="40">
        <f t="shared" si="2"/>
        <v>1.4118907337975362</v>
      </c>
    </row>
    <row r="193" spans="2:5">
      <c r="B193" s="6">
        <v>3420</v>
      </c>
      <c r="C193" s="6">
        <v>28.72</v>
      </c>
      <c r="D193" s="49">
        <v>3079</v>
      </c>
      <c r="E193" s="40">
        <f t="shared" si="2"/>
        <v>1.1107502435855798</v>
      </c>
    </row>
    <row r="194" spans="2:5">
      <c r="B194" s="6">
        <v>3038</v>
      </c>
      <c r="C194" s="6">
        <v>24.12</v>
      </c>
      <c r="D194" s="49">
        <v>2750</v>
      </c>
      <c r="E194" s="40">
        <f t="shared" si="2"/>
        <v>1.1047272727272728</v>
      </c>
    </row>
    <row r="195" spans="2:5">
      <c r="B195" s="6">
        <v>538</v>
      </c>
      <c r="C195" s="6">
        <v>20.71</v>
      </c>
      <c r="D195" s="49">
        <v>449</v>
      </c>
      <c r="E195" s="40">
        <f t="shared" si="2"/>
        <v>1.1982182628062361</v>
      </c>
    </row>
    <row r="196" spans="2:5">
      <c r="B196" s="6">
        <v>931</v>
      </c>
      <c r="C196" s="6">
        <v>20.22</v>
      </c>
      <c r="D196" s="49">
        <v>720</v>
      </c>
      <c r="E196" s="40">
        <f t="shared" si="2"/>
        <v>1.2930555555555556</v>
      </c>
    </row>
    <row r="197" spans="2:5">
      <c r="B197" s="6">
        <v>970</v>
      </c>
      <c r="C197" s="6">
        <v>39.229999999999997</v>
      </c>
      <c r="D197" s="49">
        <v>933</v>
      </c>
      <c r="E197" s="40">
        <f t="shared" si="2"/>
        <v>1.0396570203644158</v>
      </c>
    </row>
    <row r="198" spans="2:5">
      <c r="B198" s="6">
        <v>916</v>
      </c>
      <c r="C198" s="6">
        <v>20.54</v>
      </c>
      <c r="D198" s="49">
        <v>691</v>
      </c>
      <c r="E198" s="40">
        <f t="shared" ref="E198:E247" si="3">B198/D198</f>
        <v>1.3256150506512301</v>
      </c>
    </row>
    <row r="199" spans="2:5">
      <c r="B199" s="6">
        <v>1637</v>
      </c>
      <c r="C199" s="6">
        <v>26.56</v>
      </c>
      <c r="D199" s="49">
        <v>1467</v>
      </c>
      <c r="E199" s="40">
        <f t="shared" si="3"/>
        <v>1.1158827539195637</v>
      </c>
    </row>
    <row r="200" spans="2:5">
      <c r="B200" s="6">
        <v>736</v>
      </c>
      <c r="C200" s="6">
        <v>36.14</v>
      </c>
      <c r="D200" s="49">
        <v>681</v>
      </c>
      <c r="E200" s="40">
        <f t="shared" si="3"/>
        <v>1.0807635829662261</v>
      </c>
    </row>
    <row r="201" spans="2:5">
      <c r="B201" s="6">
        <v>635</v>
      </c>
      <c r="C201" s="6">
        <v>23.2</v>
      </c>
      <c r="D201" s="49">
        <v>677</v>
      </c>
      <c r="E201" s="40">
        <f t="shared" si="3"/>
        <v>0.93796159527326439</v>
      </c>
    </row>
    <row r="202" spans="2:5">
      <c r="B202" s="6">
        <v>679</v>
      </c>
      <c r="C202" s="6">
        <v>23.2</v>
      </c>
      <c r="D202" s="49">
        <v>679</v>
      </c>
      <c r="E202" s="40">
        <f t="shared" si="3"/>
        <v>1</v>
      </c>
    </row>
    <row r="203" spans="2:5">
      <c r="B203" s="6">
        <v>632</v>
      </c>
      <c r="C203" s="6">
        <v>23.2</v>
      </c>
      <c r="D203" s="49">
        <v>679</v>
      </c>
      <c r="E203" s="40">
        <f t="shared" si="3"/>
        <v>0.93078055964653905</v>
      </c>
    </row>
    <row r="204" spans="2:5">
      <c r="B204" s="6">
        <v>3568</v>
      </c>
      <c r="C204" s="6">
        <v>24.3</v>
      </c>
      <c r="D204" s="49">
        <v>3621</v>
      </c>
      <c r="E204" s="40">
        <f t="shared" si="3"/>
        <v>0.98536315934824636</v>
      </c>
    </row>
    <row r="205" spans="2:5">
      <c r="B205" s="6">
        <v>6901</v>
      </c>
      <c r="C205" s="6">
        <v>24.2</v>
      </c>
      <c r="D205" s="49">
        <v>6632</v>
      </c>
      <c r="E205" s="40">
        <f t="shared" si="3"/>
        <v>1.0405609167671894</v>
      </c>
    </row>
    <row r="206" spans="2:5">
      <c r="B206" s="6">
        <v>864</v>
      </c>
      <c r="C206" s="6">
        <v>40.200000000000003</v>
      </c>
      <c r="D206" s="49">
        <v>789</v>
      </c>
      <c r="E206" s="40">
        <f t="shared" si="3"/>
        <v>1.0950570342205324</v>
      </c>
    </row>
    <row r="207" spans="2:5">
      <c r="B207" s="6">
        <v>803</v>
      </c>
      <c r="C207" s="6">
        <v>40.200000000000003</v>
      </c>
      <c r="D207" s="49">
        <v>790</v>
      </c>
      <c r="E207" s="40">
        <f t="shared" si="3"/>
        <v>1.0164556962025317</v>
      </c>
    </row>
    <row r="208" spans="2:5">
      <c r="B208" s="6">
        <v>4200</v>
      </c>
      <c r="C208" s="6">
        <v>38.200000000000003</v>
      </c>
      <c r="D208" s="49">
        <v>4034</v>
      </c>
      <c r="E208" s="40">
        <f t="shared" si="3"/>
        <v>1.0411502231036192</v>
      </c>
    </row>
    <row r="209" spans="2:5">
      <c r="B209" s="6">
        <v>7742</v>
      </c>
      <c r="C209" s="6">
        <v>39.200000000000003</v>
      </c>
      <c r="D209" s="49">
        <v>7593</v>
      </c>
      <c r="E209" s="40">
        <f t="shared" si="3"/>
        <v>1.0196233372843408</v>
      </c>
    </row>
    <row r="210" spans="2:5">
      <c r="B210" s="6">
        <v>859</v>
      </c>
      <c r="C210" s="6">
        <v>51.3</v>
      </c>
      <c r="D210" s="49">
        <v>862</v>
      </c>
      <c r="E210" s="40">
        <f t="shared" si="3"/>
        <v>0.99651972157772617</v>
      </c>
    </row>
    <row r="211" spans="2:5">
      <c r="B211" s="6">
        <v>926</v>
      </c>
      <c r="C211" s="6">
        <v>51.3</v>
      </c>
      <c r="D211" s="49">
        <v>867</v>
      </c>
      <c r="E211" s="40">
        <f t="shared" si="3"/>
        <v>1.0680507497116494</v>
      </c>
    </row>
    <row r="212" spans="2:5">
      <c r="B212" s="6">
        <v>4283</v>
      </c>
      <c r="C212" s="6">
        <v>46.7</v>
      </c>
      <c r="D212" s="49">
        <v>4285</v>
      </c>
      <c r="E212" s="40">
        <f t="shared" si="3"/>
        <v>0.99953325554259043</v>
      </c>
    </row>
    <row r="213" spans="2:5">
      <c r="B213" s="6">
        <v>9297</v>
      </c>
      <c r="C213" s="6">
        <v>52.2</v>
      </c>
      <c r="D213" s="49">
        <v>8431</v>
      </c>
      <c r="E213" s="40">
        <f t="shared" si="3"/>
        <v>1.1027161665282885</v>
      </c>
    </row>
    <row r="214" spans="2:5">
      <c r="B214" s="6">
        <v>660</v>
      </c>
      <c r="C214" s="6">
        <v>23.2</v>
      </c>
      <c r="D214" s="49">
        <v>675</v>
      </c>
      <c r="E214" s="40">
        <f t="shared" si="3"/>
        <v>0.97777777777777775</v>
      </c>
    </row>
    <row r="215" spans="2:5">
      <c r="B215" s="6">
        <v>649</v>
      </c>
      <c r="C215" s="6">
        <v>23.2</v>
      </c>
      <c r="D215" s="49">
        <v>680</v>
      </c>
      <c r="E215" s="40">
        <f t="shared" si="3"/>
        <v>0.9544117647058824</v>
      </c>
    </row>
    <row r="216" spans="2:5">
      <c r="B216" s="6">
        <v>682</v>
      </c>
      <c r="C216" s="6">
        <v>23.2</v>
      </c>
      <c r="D216" s="49">
        <v>679</v>
      </c>
      <c r="E216" s="40">
        <f t="shared" si="3"/>
        <v>1.0044182621502209</v>
      </c>
    </row>
    <row r="217" spans="2:5">
      <c r="B217" s="6">
        <v>3568</v>
      </c>
      <c r="C217" s="6">
        <v>24.3</v>
      </c>
      <c r="D217" s="49">
        <v>3620</v>
      </c>
      <c r="E217" s="40">
        <f t="shared" si="3"/>
        <v>0.98563535911602207</v>
      </c>
    </row>
    <row r="218" spans="2:5">
      <c r="B218" s="6">
        <v>6565</v>
      </c>
      <c r="C218" s="6">
        <v>24.2</v>
      </c>
      <c r="D218" s="49">
        <v>6626</v>
      </c>
      <c r="E218" s="40">
        <f t="shared" si="3"/>
        <v>0.99079384243887714</v>
      </c>
    </row>
    <row r="219" spans="2:5">
      <c r="B219" s="6">
        <v>800</v>
      </c>
      <c r="C219" s="6">
        <v>40.200000000000003</v>
      </c>
      <c r="D219" s="49">
        <v>790</v>
      </c>
      <c r="E219" s="40">
        <f t="shared" si="3"/>
        <v>1.0126582278481013</v>
      </c>
    </row>
    <row r="220" spans="2:5">
      <c r="B220" s="6">
        <v>742</v>
      </c>
      <c r="C220" s="6">
        <v>40.200000000000003</v>
      </c>
      <c r="D220" s="49">
        <v>785</v>
      </c>
      <c r="E220" s="40">
        <f t="shared" si="3"/>
        <v>0.94522292993630574</v>
      </c>
    </row>
    <row r="221" spans="2:5">
      <c r="B221" s="6">
        <v>4023</v>
      </c>
      <c r="C221" s="6">
        <v>38.200000000000003</v>
      </c>
      <c r="D221" s="49">
        <v>4033</v>
      </c>
      <c r="E221" s="40">
        <f t="shared" si="3"/>
        <v>0.99752045623605257</v>
      </c>
    </row>
    <row r="222" spans="2:5">
      <c r="B222" s="6">
        <v>7933</v>
      </c>
      <c r="C222" s="6">
        <v>39.200000000000003</v>
      </c>
      <c r="D222" s="49">
        <v>7589</v>
      </c>
      <c r="E222" s="40">
        <f t="shared" si="3"/>
        <v>1.0453287653182237</v>
      </c>
    </row>
    <row r="223" spans="2:5">
      <c r="B223" s="6">
        <v>877</v>
      </c>
      <c r="C223" s="6">
        <v>51.3</v>
      </c>
      <c r="D223" s="49">
        <v>867</v>
      </c>
      <c r="E223" s="40">
        <f t="shared" si="3"/>
        <v>1.0115340253748559</v>
      </c>
    </row>
    <row r="224" spans="2:5">
      <c r="B224" s="6">
        <v>862</v>
      </c>
      <c r="C224" s="6">
        <v>51.3</v>
      </c>
      <c r="D224" s="49">
        <v>862</v>
      </c>
      <c r="E224" s="40">
        <f t="shared" si="3"/>
        <v>1</v>
      </c>
    </row>
    <row r="225" spans="2:5">
      <c r="B225" s="6">
        <v>4214</v>
      </c>
      <c r="C225" s="6">
        <v>46.8</v>
      </c>
      <c r="D225" s="49">
        <v>4289</v>
      </c>
      <c r="E225" s="40">
        <f t="shared" si="3"/>
        <v>0.98251340638843554</v>
      </c>
    </row>
    <row r="226" spans="2:5">
      <c r="B226" s="6">
        <v>8289</v>
      </c>
      <c r="C226" s="6">
        <v>52.2</v>
      </c>
      <c r="D226" s="49">
        <v>8440</v>
      </c>
      <c r="E226" s="40">
        <f t="shared" si="3"/>
        <v>0.98210900473933649</v>
      </c>
    </row>
    <row r="227" spans="2:5">
      <c r="B227" s="6">
        <v>708</v>
      </c>
      <c r="C227" s="6">
        <v>46.8</v>
      </c>
      <c r="D227" s="49">
        <v>727</v>
      </c>
      <c r="E227" s="40">
        <f t="shared" si="3"/>
        <v>0.97386519944979366</v>
      </c>
    </row>
    <row r="228" spans="2:5">
      <c r="B228" s="6">
        <v>820</v>
      </c>
      <c r="C228" s="6">
        <v>46.8</v>
      </c>
      <c r="D228" s="49">
        <v>727</v>
      </c>
      <c r="E228" s="40">
        <f t="shared" si="3"/>
        <v>1.1279229711141678</v>
      </c>
    </row>
    <row r="229" spans="2:5">
      <c r="B229" s="6">
        <v>766</v>
      </c>
      <c r="C229" s="6">
        <v>46.8</v>
      </c>
      <c r="D229" s="49">
        <v>727</v>
      </c>
      <c r="E229" s="40">
        <f t="shared" si="3"/>
        <v>1.0536451169188445</v>
      </c>
    </row>
    <row r="230" spans="2:5">
      <c r="B230" s="6">
        <v>820</v>
      </c>
      <c r="C230" s="6">
        <v>46.8</v>
      </c>
      <c r="D230" s="49">
        <v>727</v>
      </c>
      <c r="E230" s="40">
        <f t="shared" si="3"/>
        <v>1.1279229711141678</v>
      </c>
    </row>
    <row r="231" spans="2:5">
      <c r="B231" s="6">
        <v>780</v>
      </c>
      <c r="C231" s="6">
        <v>46.8</v>
      </c>
      <c r="D231" s="49">
        <v>727</v>
      </c>
      <c r="E231" s="40">
        <f t="shared" si="3"/>
        <v>1.0729023383768914</v>
      </c>
    </row>
    <row r="232" spans="2:5">
      <c r="B232" s="6">
        <v>814</v>
      </c>
      <c r="C232" s="6">
        <v>46.8</v>
      </c>
      <c r="D232" s="49">
        <v>727</v>
      </c>
      <c r="E232" s="40">
        <f t="shared" si="3"/>
        <v>1.1196698762035764</v>
      </c>
    </row>
    <row r="233" spans="2:5">
      <c r="B233" s="6">
        <v>2320</v>
      </c>
      <c r="C233" s="6">
        <v>46.8</v>
      </c>
      <c r="D233" s="49">
        <v>2204</v>
      </c>
      <c r="E233" s="40">
        <f t="shared" si="3"/>
        <v>1.0526315789473684</v>
      </c>
    </row>
    <row r="234" spans="2:5">
      <c r="B234" s="6">
        <v>2330</v>
      </c>
      <c r="C234" s="6">
        <v>46.8</v>
      </c>
      <c r="D234" s="49">
        <v>2204</v>
      </c>
      <c r="E234" s="40">
        <f t="shared" si="3"/>
        <v>1.057168784029038</v>
      </c>
    </row>
    <row r="235" spans="2:5">
      <c r="B235" s="6">
        <v>2160</v>
      </c>
      <c r="C235" s="6">
        <v>46.8</v>
      </c>
      <c r="D235" s="49">
        <v>2204</v>
      </c>
      <c r="E235" s="40">
        <f t="shared" si="3"/>
        <v>0.98003629764065336</v>
      </c>
    </row>
    <row r="236" spans="2:5">
      <c r="B236" s="6">
        <v>2160</v>
      </c>
      <c r="C236" s="6">
        <v>46.8</v>
      </c>
      <c r="D236" s="49">
        <v>2204</v>
      </c>
      <c r="E236" s="40">
        <f t="shared" si="3"/>
        <v>0.98003629764065336</v>
      </c>
    </row>
    <row r="237" spans="2:5">
      <c r="B237" s="6">
        <v>2383</v>
      </c>
      <c r="C237" s="6">
        <v>46.8</v>
      </c>
      <c r="D237" s="49">
        <v>2204</v>
      </c>
      <c r="E237" s="40">
        <f t="shared" si="3"/>
        <v>1.0812159709618874</v>
      </c>
    </row>
    <row r="238" spans="2:5">
      <c r="B238" s="6">
        <v>2256</v>
      </c>
      <c r="C238" s="6">
        <v>46.8</v>
      </c>
      <c r="D238" s="49">
        <v>2204</v>
      </c>
      <c r="E238" s="40">
        <f t="shared" si="3"/>
        <v>1.0235934664246824</v>
      </c>
    </row>
    <row r="239" spans="2:5">
      <c r="B239" s="6">
        <v>1244.5999999999999</v>
      </c>
      <c r="C239" s="6">
        <v>28.6</v>
      </c>
      <c r="D239" s="49">
        <v>1127</v>
      </c>
      <c r="E239" s="40">
        <f t="shared" si="3"/>
        <v>1.1043478260869564</v>
      </c>
    </row>
    <row r="240" spans="2:5">
      <c r="B240" s="6">
        <v>1234.8</v>
      </c>
      <c r="C240" s="6">
        <v>28.6</v>
      </c>
      <c r="D240" s="49">
        <v>1127</v>
      </c>
      <c r="E240" s="40">
        <f t="shared" si="3"/>
        <v>1.0956521739130434</v>
      </c>
    </row>
    <row r="241" spans="2:5">
      <c r="B241" s="6">
        <v>1254.4000000000001</v>
      </c>
      <c r="C241" s="6">
        <v>28.6</v>
      </c>
      <c r="D241" s="49">
        <v>1096</v>
      </c>
      <c r="E241" s="40">
        <f t="shared" si="3"/>
        <v>1.1445255474452556</v>
      </c>
    </row>
    <row r="242" spans="2:5">
      <c r="B242" s="6">
        <v>1225</v>
      </c>
      <c r="C242" s="6">
        <v>28.6</v>
      </c>
      <c r="D242" s="49">
        <v>1093</v>
      </c>
      <c r="E242" s="40">
        <f t="shared" si="3"/>
        <v>1.1207685269899359</v>
      </c>
    </row>
    <row r="243" spans="2:5">
      <c r="B243" s="6">
        <v>1161.3</v>
      </c>
      <c r="C243" s="6">
        <v>28.6</v>
      </c>
      <c r="D243" s="49">
        <v>1061</v>
      </c>
      <c r="E243" s="40">
        <f t="shared" si="3"/>
        <v>1.0945334590009426</v>
      </c>
    </row>
    <row r="244" spans="2:5">
      <c r="B244" s="6">
        <v>1166.2</v>
      </c>
      <c r="C244" s="6">
        <v>28.6</v>
      </c>
      <c r="D244" s="49">
        <v>1037</v>
      </c>
      <c r="E244" s="40">
        <f t="shared" si="3"/>
        <v>1.1245901639344262</v>
      </c>
    </row>
    <row r="245" spans="2:5">
      <c r="B245" s="6">
        <v>1210.3</v>
      </c>
      <c r="C245" s="6">
        <v>28.6</v>
      </c>
      <c r="D245" s="49">
        <v>1037</v>
      </c>
      <c r="E245" s="40">
        <f t="shared" si="3"/>
        <v>1.1671166827386692</v>
      </c>
    </row>
    <row r="246" spans="2:5">
      <c r="B246" s="6">
        <v>1871.8</v>
      </c>
      <c r="C246" s="6">
        <v>28.6</v>
      </c>
      <c r="D246" s="49">
        <v>1026</v>
      </c>
      <c r="E246" s="40">
        <f t="shared" si="3"/>
        <v>1.8243664717348926</v>
      </c>
    </row>
    <row r="247" spans="2:5">
      <c r="B247" s="6">
        <v>757</v>
      </c>
      <c r="C247" s="6">
        <v>30.7</v>
      </c>
      <c r="D247" s="49">
        <v>836</v>
      </c>
      <c r="E247" s="40">
        <f t="shared" si="3"/>
        <v>0.90550239234449759</v>
      </c>
    </row>
    <row r="248" spans="2:5">
      <c r="B248" s="6"/>
    </row>
  </sheetData>
  <mergeCells count="4">
    <mergeCell ref="B2:D2"/>
    <mergeCell ref="B1:D1"/>
    <mergeCell ref="G2:H2"/>
    <mergeCell ref="G3:H3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Goode</dc:creator>
  <cp:keywords/>
  <dc:description/>
  <cp:lastModifiedBy>X</cp:lastModifiedBy>
  <cp:revision/>
  <dcterms:created xsi:type="dcterms:W3CDTF">2006-12-12T10:05:35Z</dcterms:created>
  <dcterms:modified xsi:type="dcterms:W3CDTF">2018-11-09T15:12:13Z</dcterms:modified>
  <cp:category/>
  <cp:contentStatus/>
</cp:coreProperties>
</file>